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rto\Documents\Parton PC\Accounts\2021-2022\"/>
    </mc:Choice>
  </mc:AlternateContent>
  <xr:revisionPtr revIDLastSave="0" documentId="8_{287E614E-DF71-415B-AFB6-75FBE134D6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ank_Reconciliation" sheetId="1" r:id="rId1"/>
    <sheet name="Receipts" sheetId="2" r:id="rId2"/>
    <sheet name="Payments" sheetId="3" r:id="rId3"/>
    <sheet name="Annual_Summary" sheetId="4" r:id="rId4"/>
    <sheet name="Previous_Year_Variance" sheetId="5" r:id="rId5"/>
    <sheet name="Asset_Register" sheetId="6" r:id="rId6"/>
  </sheets>
  <externalReferences>
    <externalReference r:id="rId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8" i="5" l="1"/>
  <c r="D28" i="5"/>
  <c r="E29" i="5" s="1"/>
  <c r="D25" i="5"/>
  <c r="D24" i="5"/>
  <c r="E22" i="5"/>
  <c r="C19" i="5"/>
  <c r="E19" i="5"/>
  <c r="E12" i="5"/>
  <c r="E11" i="5"/>
  <c r="E10" i="5"/>
  <c r="E9" i="5"/>
  <c r="E8" i="5"/>
  <c r="E26" i="5" l="1"/>
  <c r="E50" i="5" s="1"/>
  <c r="I27" i="2" l="1"/>
  <c r="H27" i="2"/>
  <c r="G27" i="2"/>
  <c r="S48" i="3"/>
  <c r="S49" i="3"/>
  <c r="Q47" i="3" l="1"/>
  <c r="S44" i="3"/>
  <c r="S45" i="3"/>
  <c r="S46" i="3"/>
  <c r="T51" i="3" l="1"/>
  <c r="J51" i="3"/>
  <c r="H51" i="3"/>
  <c r="S41" i="3"/>
  <c r="S42" i="3"/>
  <c r="S43" i="3"/>
  <c r="S47" i="3"/>
  <c r="J21" i="2" l="1"/>
  <c r="K27" i="3" l="1"/>
  <c r="I27" i="3"/>
  <c r="S14" i="3" l="1"/>
  <c r="S15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13" i="3"/>
  <c r="S12" i="3"/>
  <c r="I16" i="3"/>
  <c r="S16" i="3" s="1"/>
  <c r="N51" i="3" l="1"/>
  <c r="O51" i="3"/>
  <c r="E27" i="4" s="1"/>
  <c r="P51" i="3"/>
  <c r="E28" i="4" s="1"/>
  <c r="Q51" i="3"/>
  <c r="E29" i="4" s="1"/>
  <c r="R51" i="3"/>
  <c r="E30" i="4" s="1"/>
  <c r="M51" i="3"/>
  <c r="E25" i="4" s="1"/>
  <c r="E26" i="4"/>
  <c r="F20" i="6"/>
  <c r="E20" i="6"/>
  <c r="D20" i="6"/>
  <c r="G19" i="6"/>
  <c r="G18" i="6"/>
  <c r="G17" i="6"/>
  <c r="G16" i="6"/>
  <c r="G15" i="6"/>
  <c r="G14" i="6"/>
  <c r="G13" i="6"/>
  <c r="G12" i="6"/>
  <c r="G11" i="6"/>
  <c r="G10" i="6"/>
  <c r="G9" i="6"/>
  <c r="G8" i="6"/>
  <c r="B35" i="5"/>
  <c r="B32" i="5"/>
  <c r="B31" i="5"/>
  <c r="C29" i="5"/>
  <c r="G29" i="5" s="1"/>
  <c r="B25" i="5"/>
  <c r="B24" i="5"/>
  <c r="C22" i="5"/>
  <c r="G22" i="5" s="1"/>
  <c r="G19" i="5"/>
  <c r="C12" i="5"/>
  <c r="G12" i="5" s="1"/>
  <c r="C11" i="5"/>
  <c r="G11" i="5" s="1"/>
  <c r="C10" i="5"/>
  <c r="C9" i="5"/>
  <c r="G9" i="5" s="1"/>
  <c r="C8" i="5"/>
  <c r="G5" i="5"/>
  <c r="L51" i="3"/>
  <c r="E24" i="4" s="1"/>
  <c r="K51" i="3"/>
  <c r="E23" i="4" s="1"/>
  <c r="E22" i="4"/>
  <c r="I51" i="3"/>
  <c r="E21" i="4" s="1"/>
  <c r="E20" i="4"/>
  <c r="G51" i="3"/>
  <c r="E19" i="4" s="1"/>
  <c r="D16" i="4"/>
  <c r="D15" i="4"/>
  <c r="D14" i="4"/>
  <c r="F27" i="2"/>
  <c r="D13" i="4" s="1"/>
  <c r="E27" i="2"/>
  <c r="D12" i="4" s="1"/>
  <c r="J24" i="2"/>
  <c r="J23" i="2"/>
  <c r="J22" i="2"/>
  <c r="J20" i="2"/>
  <c r="J19" i="2"/>
  <c r="J18" i="2"/>
  <c r="J17" i="2"/>
  <c r="J16" i="2"/>
  <c r="J15" i="2"/>
  <c r="J14" i="2"/>
  <c r="J13" i="2"/>
  <c r="G32" i="1"/>
  <c r="G26" i="1"/>
  <c r="G16" i="1"/>
  <c r="G8" i="5" l="1"/>
  <c r="C48" i="5"/>
  <c r="G34" i="1"/>
  <c r="C26" i="5"/>
  <c r="G26" i="5" s="1"/>
  <c r="F21" i="6"/>
  <c r="G20" i="6"/>
  <c r="F31" i="4"/>
  <c r="S51" i="3"/>
  <c r="J27" i="2"/>
  <c r="F17" i="4"/>
  <c r="G10" i="5"/>
  <c r="C50" i="5" l="1"/>
  <c r="G48" i="5"/>
  <c r="H50" i="5" s="1"/>
  <c r="G50" i="5"/>
  <c r="F33" i="4"/>
</calcChain>
</file>

<file path=xl/sharedStrings.xml><?xml version="1.0" encoding="utf-8"?>
<sst xmlns="http://schemas.openxmlformats.org/spreadsheetml/2006/main" count="380" uniqueCount="214">
  <si>
    <t>PARTON PARISH COUNCIL</t>
  </si>
  <si>
    <t>BANK RECONCILIATION</t>
  </si>
  <si>
    <t>Prepared by</t>
  </si>
  <si>
    <t>Mrs Jane Coltman (Clerk/RFO)</t>
  </si>
  <si>
    <t xml:space="preserve">Date </t>
  </si>
  <si>
    <t>Item</t>
  </si>
  <si>
    <t>Total</t>
  </si>
  <si>
    <t>BALANCE AS PER BANK STATEMENTS 31/03/2022</t>
  </si>
  <si>
    <t>£</t>
  </si>
  <si>
    <t>Bank Current Account</t>
  </si>
  <si>
    <t>___________</t>
  </si>
  <si>
    <t>LESS UNPRESENTED CHEQUES</t>
  </si>
  <si>
    <t>Chq. No.</t>
  </si>
  <si>
    <t>Payee</t>
  </si>
  <si>
    <t>PLUS RECEIPTS NOT BANKED</t>
  </si>
  <si>
    <t>Details</t>
  </si>
  <si>
    <t>NETT BALANCE AT 31/03/2022</t>
  </si>
  <si>
    <t>REGISTER OF RECEIPTS</t>
  </si>
  <si>
    <t>FINANCIAL YEAR ENDED 31/03/2022</t>
  </si>
  <si>
    <t>Date</t>
  </si>
  <si>
    <t>Ref</t>
  </si>
  <si>
    <t>Source</t>
  </si>
  <si>
    <t>Description</t>
  </si>
  <si>
    <t>Wayleaves</t>
  </si>
  <si>
    <t>Garages</t>
  </si>
  <si>
    <t>Precept</t>
  </si>
  <si>
    <t>VAT Refund</t>
  </si>
  <si>
    <t>Other</t>
  </si>
  <si>
    <t>REGISTER OF PAYMENTS</t>
  </si>
  <si>
    <t>Cheque</t>
  </si>
  <si>
    <t>Minute Ref</t>
  </si>
  <si>
    <t>Voucher Number</t>
  </si>
  <si>
    <t>Landscaping</t>
  </si>
  <si>
    <t>Play Area</t>
  </si>
  <si>
    <t>Grants</t>
  </si>
  <si>
    <t>S137</t>
  </si>
  <si>
    <t>VAT To Reclaim</t>
  </si>
  <si>
    <t>£100 + Nett (Y/N)</t>
  </si>
  <si>
    <t>Totals</t>
  </si>
  <si>
    <t>ANNUAL SUMMARY OF ACCOUNTS</t>
  </si>
  <si>
    <t>Brought Forward from 31/03/2021</t>
  </si>
  <si>
    <t>Receipts</t>
  </si>
  <si>
    <t>Garage Rent</t>
  </si>
  <si>
    <t>Payments</t>
  </si>
  <si>
    <t>Balance of reserves.</t>
  </si>
  <si>
    <t>2020/2021</t>
  </si>
  <si>
    <t>2021/2022</t>
  </si>
  <si>
    <t>Variance</t>
  </si>
  <si>
    <t>VAT Claim</t>
  </si>
  <si>
    <t>Telephone, Postage &amp; Stationery</t>
  </si>
  <si>
    <t>Insurance</t>
  </si>
  <si>
    <t>Audit Fees</t>
  </si>
  <si>
    <t>Clerk’s Salary</t>
  </si>
  <si>
    <t>Clerk’s Travel</t>
  </si>
  <si>
    <t>Easter egg donation</t>
  </si>
  <si>
    <t>Wreath</t>
  </si>
  <si>
    <t>Parton Reunited</t>
  </si>
  <si>
    <t>Landscape</t>
  </si>
  <si>
    <t>Bin Collection</t>
  </si>
  <si>
    <t>Subscriptions</t>
  </si>
  <si>
    <t>Calc</t>
  </si>
  <si>
    <t>Miscellaneous</t>
  </si>
  <si>
    <t>Bus Shelter Repair</t>
  </si>
  <si>
    <t>Village Hall Rent</t>
  </si>
  <si>
    <t>Website Fees</t>
  </si>
  <si>
    <t>Job advertisement</t>
  </si>
  <si>
    <t>Training</t>
  </si>
  <si>
    <t>Computer Repair</t>
  </si>
  <si>
    <t>Solicitor Fees</t>
  </si>
  <si>
    <t>Claim Settlement</t>
  </si>
  <si>
    <t>Filing cabinet</t>
  </si>
  <si>
    <t>ICO Registration</t>
  </si>
  <si>
    <t>ASSET REGISTER</t>
  </si>
  <si>
    <r>
      <t>31</t>
    </r>
    <r>
      <rPr>
        <vertAlign val="superscript"/>
        <sz val="11"/>
        <color rgb="FF000000"/>
        <rFont val="Arial"/>
        <family val="2"/>
      </rPr>
      <t>st</t>
    </r>
    <r>
      <rPr>
        <b/>
        <sz val="11"/>
        <color rgb="FF000000"/>
        <rFont val="Arial"/>
        <family val="2"/>
      </rPr>
      <t xml:space="preserve"> MARCH 2022</t>
    </r>
  </si>
  <si>
    <t>ITEM</t>
  </si>
  <si>
    <t>PURCHASE DATE</t>
  </si>
  <si>
    <t>COMMENTS</t>
  </si>
  <si>
    <t>OPENING VALUE 2020</t>
  </si>
  <si>
    <t>ADDITIONS</t>
  </si>
  <si>
    <t>DISPOSALS</t>
  </si>
  <si>
    <t>CURRENT VALUE 2021</t>
  </si>
  <si>
    <t>Bus Shelter</t>
  </si>
  <si>
    <t>Oct 2010</t>
  </si>
  <si>
    <t>Criffel Road, Parton</t>
  </si>
  <si>
    <t>Play Equipment Units</t>
  </si>
  <si>
    <t>Aug 2011</t>
  </si>
  <si>
    <t>Main Street, Parton</t>
  </si>
  <si>
    <t>Waste Bins</t>
  </si>
  <si>
    <t>Jan 2017</t>
  </si>
  <si>
    <t>Play area, Main Street, Parton</t>
  </si>
  <si>
    <t>Land</t>
  </si>
  <si>
    <t>Used as a car Park. Main Street, Parton</t>
  </si>
  <si>
    <t>Nominal value entered</t>
  </si>
  <si>
    <t>Strip of land between the dwellings and the permanent way. Main Street, Parton</t>
  </si>
  <si>
    <t>The Square, Parton</t>
  </si>
  <si>
    <t>War Memorial</t>
  </si>
  <si>
    <t>The Foreshore, Parton</t>
  </si>
  <si>
    <t>4 Benches, Waste bins, 2 Picnic Tables</t>
  </si>
  <si>
    <t>The memorial Garden, The Foreshore, Parton</t>
  </si>
  <si>
    <t>Public Noticeboard</t>
  </si>
  <si>
    <t>Mar 2010</t>
  </si>
  <si>
    <t>Beside The Village Hall</t>
  </si>
  <si>
    <t>Feb 2020</t>
  </si>
  <si>
    <t>Criffel Road bus shelter, Parton</t>
  </si>
  <si>
    <t>With Clerk</t>
  </si>
  <si>
    <t>Copeland BC</t>
  </si>
  <si>
    <t>Staff Costs</t>
  </si>
  <si>
    <t>Legal &amp; Professional</t>
  </si>
  <si>
    <t>Office Overheads</t>
  </si>
  <si>
    <t>Training &amp; Development</t>
  </si>
  <si>
    <t>Repairs &amp; Renewals</t>
  </si>
  <si>
    <t>Insurances</t>
  </si>
  <si>
    <t>Elections</t>
  </si>
  <si>
    <t>Events</t>
  </si>
  <si>
    <t>034/2020/21</t>
  </si>
  <si>
    <t>P01/21</t>
  </si>
  <si>
    <t>J Airey</t>
  </si>
  <si>
    <t>Internal Auditor</t>
  </si>
  <si>
    <t>Apr 2021</t>
  </si>
  <si>
    <t>034/2021/22</t>
  </si>
  <si>
    <t>P02/21</t>
  </si>
  <si>
    <t>CALC</t>
  </si>
  <si>
    <t>Membership Fees</t>
  </si>
  <si>
    <t>Y</t>
  </si>
  <si>
    <t>P03/21</t>
  </si>
  <si>
    <t>J Coltman</t>
  </si>
  <si>
    <t>Nett Salary</t>
  </si>
  <si>
    <t>P04/21</t>
  </si>
  <si>
    <t>HMRC</t>
  </si>
  <si>
    <t>PAYE Tax</t>
  </si>
  <si>
    <t>Expenses/laptop</t>
  </si>
  <si>
    <t>057/2021/22</t>
  </si>
  <si>
    <t>P05/21</t>
  </si>
  <si>
    <t>Lowca PC</t>
  </si>
  <si>
    <t>Half Insurance</t>
  </si>
  <si>
    <t>P06&amp;07/21</t>
  </si>
  <si>
    <t>Training courses</t>
  </si>
  <si>
    <t>y</t>
  </si>
  <si>
    <t>P08/21</t>
  </si>
  <si>
    <t>BHIB</t>
  </si>
  <si>
    <t>P09/21</t>
  </si>
  <si>
    <t>P10/21</t>
  </si>
  <si>
    <t xml:space="preserve">Expenses </t>
  </si>
  <si>
    <t>080/2021/22</t>
  </si>
  <si>
    <t>P11/21</t>
  </si>
  <si>
    <t>Election Costs</t>
  </si>
  <si>
    <t>P12/21</t>
  </si>
  <si>
    <t>Waste Removal</t>
  </si>
  <si>
    <t>P13/21</t>
  </si>
  <si>
    <t>P14/21</t>
  </si>
  <si>
    <t>Expenses</t>
  </si>
  <si>
    <t>DD</t>
  </si>
  <si>
    <t>041/2020/21</t>
  </si>
  <si>
    <t>ICO</t>
  </si>
  <si>
    <t>Reg. Fee</t>
  </si>
  <si>
    <t>P15/21</t>
  </si>
  <si>
    <t>CWR</t>
  </si>
  <si>
    <t>Bin emptying</t>
  </si>
  <si>
    <t>P16/21</t>
  </si>
  <si>
    <t>CBS</t>
  </si>
  <si>
    <t>Play Bark</t>
  </si>
  <si>
    <t>P17/21</t>
  </si>
  <si>
    <t>WF Cascade</t>
  </si>
  <si>
    <t>Bin liners</t>
  </si>
  <si>
    <t>P18/21</t>
  </si>
  <si>
    <t>P19/21</t>
  </si>
  <si>
    <t>P20/21</t>
  </si>
  <si>
    <t>T Tumelty</t>
  </si>
  <si>
    <t>Grant - OAP Party</t>
  </si>
  <si>
    <t>P21/21</t>
  </si>
  <si>
    <t>B Warren</t>
  </si>
  <si>
    <t>Wall Repair</t>
  </si>
  <si>
    <t>P22/21</t>
  </si>
  <si>
    <t>J &amp; R Bennett</t>
  </si>
  <si>
    <t>Planting</t>
  </si>
  <si>
    <t>POA Refund</t>
  </si>
  <si>
    <t>116/2021/22</t>
  </si>
  <si>
    <t>076/2021/22</t>
  </si>
  <si>
    <t>P23/21</t>
  </si>
  <si>
    <t>HSBC</t>
  </si>
  <si>
    <t>Bank Charges</t>
  </si>
  <si>
    <t>P24+25/21</t>
  </si>
  <si>
    <t>P25A/21</t>
  </si>
  <si>
    <t>160/2021/22</t>
  </si>
  <si>
    <t>P26/21</t>
  </si>
  <si>
    <t>Parton Village Hall</t>
  </si>
  <si>
    <t>Room Hire</t>
  </si>
  <si>
    <t>P27/21</t>
  </si>
  <si>
    <t>P28/21</t>
  </si>
  <si>
    <t>CCC</t>
  </si>
  <si>
    <t>Grant</t>
  </si>
  <si>
    <t>P29/21</t>
  </si>
  <si>
    <t>Parton V Hall</t>
  </si>
  <si>
    <t>CR</t>
  </si>
  <si>
    <t>Bus shelter grant</t>
  </si>
  <si>
    <t>Paper Cutter for School</t>
  </si>
  <si>
    <t>OAP Xmas party grant</t>
  </si>
  <si>
    <t>Children's Xmas gifts</t>
  </si>
  <si>
    <t>Zoom subs</t>
  </si>
  <si>
    <t>Software</t>
  </si>
  <si>
    <t>Centenary Remembrance</t>
  </si>
  <si>
    <t>Laptop/Mouse</t>
  </si>
  <si>
    <t>Clerk's hours were increased to reflect actual plus salary scale and rate review</t>
  </si>
  <si>
    <t>No audit at 6 months</t>
  </si>
  <si>
    <t>More events due to end of lockdown restrictions</t>
  </si>
  <si>
    <t>Nothing requested</t>
  </si>
  <si>
    <t>New bark</t>
  </si>
  <si>
    <t>Change of supplier due to price increase</t>
  </si>
  <si>
    <t>Acer Laptop+Mouse</t>
  </si>
  <si>
    <t>Erected 1921</t>
  </si>
  <si>
    <t>Date 25/04/22</t>
  </si>
  <si>
    <t xml:space="preserve">Garage </t>
  </si>
  <si>
    <t>Garage</t>
  </si>
  <si>
    <t xml:space="preserve">Garages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</si>
</sst>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d/mm/yy"/>
    <numFmt numFmtId="165" formatCode="0.00;&quot;(&quot;0.00&quot;)&quot;"/>
    <numFmt numFmtId="166" formatCode="yyyy\-mm\-dd"/>
    <numFmt numFmtId="167" formatCode="0.00&quot; &quot;;[Red]&quot;-&quot;0.00&quot; &quot;"/>
    <numFmt numFmtId="168" formatCode="0.00&quot; &quot;;&quot;-&quot;0.00&quot; &quot;"/>
    <numFmt numFmtId="169" formatCode="[$£-809]#,##0.00;[Red]&quot;-&quot;[$£-809]#,##0.00"/>
  </numFmts>
  <fonts count="7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1"/>
    </font>
    <font>
      <vertAlign val="superscript"/>
      <sz val="11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9" fontId="2" fillId="0" borderId="0" applyBorder="0" applyProtection="0"/>
  </cellStyleXfs>
  <cellXfs count="37">
    <xf numFmtId="0" fontId="0" fillId="0" borderId="0" xfId="0"/>
    <xf numFmtId="0" fontId="3" fillId="0" borderId="0" xfId="0" applyFont="1"/>
    <xf numFmtId="164" fontId="0" fillId="0" borderId="0" xfId="0" applyNumberFormat="1"/>
    <xf numFmtId="2" fontId="0" fillId="0" borderId="0" xfId="0" applyNumberFormat="1"/>
    <xf numFmtId="167" fontId="0" fillId="0" borderId="0" xfId="0" applyNumberFormat="1"/>
    <xf numFmtId="0" fontId="4" fillId="0" borderId="0" xfId="0" applyFont="1"/>
    <xf numFmtId="167" fontId="0" fillId="0" borderId="1" xfId="0" applyNumberFormat="1" applyBorder="1"/>
    <xf numFmtId="167" fontId="4" fillId="0" borderId="1" xfId="0" applyNumberFormat="1" applyFont="1" applyBorder="1"/>
    <xf numFmtId="0" fontId="3" fillId="0" borderId="0" xfId="0" applyFont="1" applyFill="1"/>
    <xf numFmtId="0" fontId="0" fillId="0" borderId="0" xfId="0" applyFill="1"/>
    <xf numFmtId="0" fontId="3" fillId="0" borderId="2" xfId="0" applyFont="1" applyFill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3" fillId="0" borderId="2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0" fillId="0" borderId="2" xfId="0" applyFill="1" applyBorder="1"/>
    <xf numFmtId="164" fontId="0" fillId="0" borderId="2" xfId="0" applyNumberFormat="1" applyBorder="1"/>
    <xf numFmtId="0" fontId="0" fillId="0" borderId="2" xfId="0" applyBorder="1"/>
    <xf numFmtId="0" fontId="0" fillId="0" borderId="2" xfId="0" applyBorder="1" applyAlignment="1">
      <alignment horizontal="center"/>
    </xf>
    <xf numFmtId="4" fontId="0" fillId="0" borderId="2" xfId="0" applyNumberFormat="1" applyBorder="1"/>
    <xf numFmtId="0" fontId="0" fillId="0" borderId="2" xfId="0" applyFill="1" applyBorder="1" applyAlignment="1">
      <alignment horizontal="center"/>
    </xf>
    <xf numFmtId="4" fontId="0" fillId="0" borderId="2" xfId="0" applyNumberFormat="1" applyBorder="1" applyAlignment="1">
      <alignment horizontal="right"/>
    </xf>
    <xf numFmtId="2" fontId="0" fillId="0" borderId="2" xfId="0" applyNumberFormat="1" applyBorder="1"/>
    <xf numFmtId="2" fontId="0" fillId="0" borderId="2" xfId="0" applyNumberFormat="1" applyBorder="1" applyAlignment="1">
      <alignment horizontal="right"/>
    </xf>
    <xf numFmtId="0" fontId="3" fillId="0" borderId="2" xfId="0" applyFont="1" applyFill="1" applyBorder="1"/>
    <xf numFmtId="0" fontId="3" fillId="0" borderId="2" xfId="0" applyFont="1" applyBorder="1"/>
    <xf numFmtId="2" fontId="3" fillId="0" borderId="2" xfId="0" applyNumberFormat="1" applyFont="1" applyBorder="1"/>
    <xf numFmtId="168" fontId="0" fillId="0" borderId="0" xfId="0" applyNumberFormat="1"/>
    <xf numFmtId="165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166" fontId="0" fillId="0" borderId="0" xfId="0" applyNumberFormat="1" applyAlignment="1">
      <alignment wrapText="1"/>
    </xf>
    <xf numFmtId="49" fontId="0" fillId="0" borderId="0" xfId="0" applyNumberFormat="1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5">
    <cellStyle name="Heading" xfId="1" xr:uid="{00000000-0005-0000-0000-000000000000}"/>
    <cellStyle name="Heading1" xfId="2" xr:uid="{00000000-0005-0000-0000-000001000000}"/>
    <cellStyle name="Normal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rto/Documents/Parton%20PC/Budgets/Current%20Budget%20Report%202021-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Summary"/>
      <sheetName val="Staff Costs"/>
      <sheetName val="Legal &amp; Professional"/>
      <sheetName val="Office Overheads"/>
      <sheetName val="Training &amp; Development"/>
      <sheetName val="Repairs &amp; Renewals"/>
      <sheetName val="Landscaping"/>
      <sheetName val="Insurances"/>
      <sheetName val="Elections"/>
      <sheetName val="Events"/>
      <sheetName val="Grants"/>
      <sheetName val="Additions"/>
    </sheetNames>
    <sheetDataSet>
      <sheetData sheetId="0">
        <row r="6">
          <cell r="D6">
            <v>3072</v>
          </cell>
        </row>
        <row r="9">
          <cell r="D9">
            <v>50</v>
          </cell>
        </row>
        <row r="13">
          <cell r="D13">
            <v>56.059999999999995</v>
          </cell>
        </row>
        <row r="14">
          <cell r="D14">
            <v>82.91</v>
          </cell>
        </row>
        <row r="24">
          <cell r="D24">
            <v>791.82</v>
          </cell>
        </row>
        <row r="25">
          <cell r="D25">
            <v>449.38000000000005</v>
          </cell>
        </row>
        <row r="34">
          <cell r="D34">
            <v>414.11</v>
          </cell>
        </row>
      </sheetData>
      <sheetData sheetId="1">
        <row r="7">
          <cell r="F7">
            <v>6.3</v>
          </cell>
        </row>
        <row r="11">
          <cell r="F11">
            <v>1.35</v>
          </cell>
        </row>
        <row r="15">
          <cell r="F15">
            <v>18.45</v>
          </cell>
        </row>
        <row r="19">
          <cell r="F19">
            <v>30.6</v>
          </cell>
        </row>
        <row r="23">
          <cell r="F23">
            <v>11.7</v>
          </cell>
        </row>
      </sheetData>
      <sheetData sheetId="2">
        <row r="5">
          <cell r="F5">
            <v>210.36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topLeftCell="A7" workbookViewId="0">
      <selection activeCell="A9" sqref="A9"/>
    </sheetView>
  </sheetViews>
  <sheetFormatPr defaultRowHeight="13.8"/>
  <cols>
    <col min="1" max="7" width="10.69921875" customWidth="1"/>
    <col min="8" max="8" width="8.796875" customWidth="1"/>
  </cols>
  <sheetData>
    <row r="1" spans="1:7">
      <c r="A1" s="1" t="s">
        <v>0</v>
      </c>
    </row>
    <row r="3" spans="1:7">
      <c r="A3" s="1" t="s">
        <v>1</v>
      </c>
    </row>
    <row r="5" spans="1:7">
      <c r="A5" t="s">
        <v>2</v>
      </c>
      <c r="B5" t="s">
        <v>3</v>
      </c>
    </row>
    <row r="7" spans="1:7">
      <c r="A7" s="2" t="s">
        <v>210</v>
      </c>
      <c r="B7" s="2"/>
    </row>
    <row r="11" spans="1:7">
      <c r="F11" t="s">
        <v>5</v>
      </c>
      <c r="G11" t="s">
        <v>6</v>
      </c>
    </row>
    <row r="12" spans="1:7">
      <c r="A12" s="1" t="s">
        <v>7</v>
      </c>
      <c r="F12" t="s">
        <v>8</v>
      </c>
      <c r="G12" t="s">
        <v>8</v>
      </c>
    </row>
    <row r="13" spans="1:7">
      <c r="F13" s="3"/>
      <c r="G13" s="3"/>
    </row>
    <row r="14" spans="1:7">
      <c r="A14" t="s">
        <v>9</v>
      </c>
      <c r="F14" s="3">
        <v>18437.310000000001</v>
      </c>
      <c r="G14" s="3"/>
    </row>
    <row r="15" spans="1:7">
      <c r="F15" s="3" t="s">
        <v>10</v>
      </c>
      <c r="G15" s="3"/>
    </row>
    <row r="16" spans="1:7">
      <c r="F16" s="3"/>
      <c r="G16" s="3">
        <f>SUM(F13:F15)</f>
        <v>18437.310000000001</v>
      </c>
    </row>
    <row r="17" spans="1:7">
      <c r="A17" s="1" t="s">
        <v>11</v>
      </c>
      <c r="F17" s="3"/>
      <c r="G17" s="3"/>
    </row>
    <row r="18" spans="1:7">
      <c r="F18" s="3"/>
      <c r="G18" s="3"/>
    </row>
    <row r="19" spans="1:7">
      <c r="A19" t="s">
        <v>12</v>
      </c>
      <c r="B19" t="s">
        <v>13</v>
      </c>
      <c r="F19" s="3"/>
      <c r="G19" s="3"/>
    </row>
    <row r="20" spans="1:7">
      <c r="A20" s="35">
        <v>101350</v>
      </c>
      <c r="B20" s="35" t="s">
        <v>170</v>
      </c>
      <c r="F20" s="3">
        <v>-150.47999999999999</v>
      </c>
      <c r="G20" s="3"/>
    </row>
    <row r="21" spans="1:7">
      <c r="A21" s="35">
        <v>101352</v>
      </c>
      <c r="B21" s="35" t="s">
        <v>192</v>
      </c>
      <c r="F21" s="3">
        <v>-100</v>
      </c>
      <c r="G21" s="3"/>
    </row>
    <row r="22" spans="1:7" s="35" customFormat="1">
      <c r="A22" s="35">
        <v>101353</v>
      </c>
      <c r="B22" s="35" t="s">
        <v>125</v>
      </c>
      <c r="F22" s="3">
        <v>-806.4</v>
      </c>
      <c r="G22" s="3"/>
    </row>
    <row r="23" spans="1:7" s="35" customFormat="1">
      <c r="A23" s="35">
        <v>101354</v>
      </c>
      <c r="B23" s="35" t="s">
        <v>128</v>
      </c>
      <c r="F23" s="3">
        <v>-201.6</v>
      </c>
      <c r="G23" s="3"/>
    </row>
    <row r="24" spans="1:7" s="35" customFormat="1">
      <c r="A24" s="35">
        <v>101355</v>
      </c>
      <c r="B24" s="35" t="s">
        <v>125</v>
      </c>
      <c r="F24" s="3">
        <v>-272.92</v>
      </c>
      <c r="G24" s="3"/>
    </row>
    <row r="25" spans="1:7">
      <c r="F25" s="3" t="s">
        <v>10</v>
      </c>
      <c r="G25" s="3"/>
    </row>
    <row r="26" spans="1:7">
      <c r="F26" s="3"/>
      <c r="G26" s="3">
        <f>SUM(F19:F25)</f>
        <v>-1531.3999999999999</v>
      </c>
    </row>
    <row r="27" spans="1:7">
      <c r="A27" s="1" t="s">
        <v>14</v>
      </c>
      <c r="F27" s="3"/>
      <c r="G27" s="3"/>
    </row>
    <row r="28" spans="1:7">
      <c r="F28" s="3"/>
      <c r="G28" s="3"/>
    </row>
    <row r="29" spans="1:7">
      <c r="A29" t="s">
        <v>15</v>
      </c>
      <c r="F29" s="3"/>
      <c r="G29" s="3"/>
    </row>
    <row r="30" spans="1:7">
      <c r="A30" s="35" t="s">
        <v>193</v>
      </c>
      <c r="B30" s="35" t="s">
        <v>189</v>
      </c>
      <c r="C30" s="35" t="s">
        <v>194</v>
      </c>
      <c r="D30" s="35"/>
      <c r="E30" s="35"/>
      <c r="F30" s="3">
        <v>8000</v>
      </c>
      <c r="G30" s="3"/>
    </row>
    <row r="31" spans="1:7">
      <c r="F31" s="3" t="s">
        <v>10</v>
      </c>
      <c r="G31" s="3"/>
    </row>
    <row r="32" spans="1:7">
      <c r="F32" s="3"/>
      <c r="G32" s="3">
        <f>SUM(F29:F31)</f>
        <v>8000</v>
      </c>
    </row>
    <row r="33" spans="1:7">
      <c r="F33" s="3"/>
      <c r="G33" s="3"/>
    </row>
    <row r="34" spans="1:7">
      <c r="A34" s="1" t="s">
        <v>16</v>
      </c>
      <c r="F34" s="3"/>
      <c r="G34" s="3">
        <f>SUM(G16:G32)</f>
        <v>24905.91</v>
      </c>
    </row>
    <row r="35" spans="1:7">
      <c r="F35" s="3"/>
      <c r="G35" s="3"/>
    </row>
  </sheetData>
  <printOptions gridLines="1"/>
  <pageMargins left="0.7" right="0.7" top="0.75" bottom="0.75" header="0.3" footer="0.3"/>
  <pageSetup paperSize="9" fitToWidth="0" fitToHeight="0" pageOrder="overThenDown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"/>
  <sheetViews>
    <sheetView topLeftCell="A7" workbookViewId="0">
      <selection activeCell="D22" sqref="D22"/>
    </sheetView>
  </sheetViews>
  <sheetFormatPr defaultRowHeight="13.8"/>
  <cols>
    <col min="1" max="1024" width="10.69921875" customWidth="1"/>
    <col min="1025" max="1025" width="8.796875" customWidth="1"/>
  </cols>
  <sheetData>
    <row r="1" spans="1:10">
      <c r="A1" s="1" t="s">
        <v>0</v>
      </c>
    </row>
    <row r="3" spans="1:10">
      <c r="A3" s="1" t="s">
        <v>17</v>
      </c>
    </row>
    <row r="5" spans="1:10">
      <c r="A5" t="s">
        <v>18</v>
      </c>
    </row>
    <row r="7" spans="1:10">
      <c r="A7" t="s">
        <v>2</v>
      </c>
      <c r="B7" t="s">
        <v>3</v>
      </c>
    </row>
    <row r="9" spans="1:10">
      <c r="A9" t="s">
        <v>4</v>
      </c>
      <c r="B9" s="2"/>
    </row>
    <row r="11" spans="1:10" s="1" customFormat="1">
      <c r="A11" s="1" t="s">
        <v>19</v>
      </c>
      <c r="B11" s="1" t="s">
        <v>20</v>
      </c>
      <c r="C11" s="1" t="s">
        <v>21</v>
      </c>
      <c r="D11" s="1" t="s">
        <v>22</v>
      </c>
      <c r="E11" s="1" t="s">
        <v>23</v>
      </c>
      <c r="F11" s="1" t="s">
        <v>24</v>
      </c>
      <c r="G11" s="1" t="s">
        <v>25</v>
      </c>
      <c r="H11" s="1" t="s">
        <v>26</v>
      </c>
      <c r="I11" s="1" t="s">
        <v>27</v>
      </c>
      <c r="J11" s="1" t="s">
        <v>6</v>
      </c>
    </row>
    <row r="13" spans="1:10">
      <c r="A13" s="2">
        <v>44287</v>
      </c>
      <c r="D13" t="s">
        <v>211</v>
      </c>
      <c r="E13" s="4"/>
      <c r="F13" s="4">
        <v>25</v>
      </c>
      <c r="G13" s="4"/>
      <c r="H13" s="4"/>
      <c r="I13" s="4"/>
      <c r="J13" s="4">
        <f t="shared" ref="J13:J24" si="0">SUM(E13:I13)</f>
        <v>25</v>
      </c>
    </row>
    <row r="14" spans="1:10">
      <c r="A14" s="2">
        <v>44289</v>
      </c>
      <c r="D14" t="s">
        <v>211</v>
      </c>
      <c r="E14" s="4"/>
      <c r="F14" s="4">
        <v>25</v>
      </c>
      <c r="G14" s="4"/>
      <c r="H14" s="4"/>
      <c r="I14" s="4"/>
      <c r="J14" s="4">
        <f t="shared" si="0"/>
        <v>25</v>
      </c>
    </row>
    <row r="15" spans="1:10">
      <c r="A15" s="2">
        <v>44296</v>
      </c>
      <c r="D15" t="s">
        <v>211</v>
      </c>
      <c r="E15" s="4"/>
      <c r="F15" s="4">
        <v>75</v>
      </c>
      <c r="G15" s="4"/>
      <c r="H15" s="4"/>
      <c r="I15" s="4"/>
      <c r="J15" s="4">
        <f t="shared" si="0"/>
        <v>75</v>
      </c>
    </row>
    <row r="16" spans="1:10">
      <c r="A16" s="2">
        <v>44302</v>
      </c>
      <c r="D16" t="s">
        <v>212</v>
      </c>
      <c r="E16" s="4"/>
      <c r="F16" s="4">
        <v>25</v>
      </c>
      <c r="G16" s="4"/>
      <c r="H16" s="4"/>
      <c r="I16" s="4"/>
      <c r="J16" s="4">
        <f t="shared" si="0"/>
        <v>25</v>
      </c>
    </row>
    <row r="17" spans="1:10">
      <c r="A17" s="2">
        <v>44307</v>
      </c>
      <c r="D17" t="s">
        <v>211</v>
      </c>
      <c r="E17" s="4"/>
      <c r="F17" s="4">
        <v>25</v>
      </c>
      <c r="G17" s="4"/>
      <c r="H17" s="4"/>
      <c r="I17" s="4"/>
      <c r="J17" s="4">
        <f t="shared" si="0"/>
        <v>25</v>
      </c>
    </row>
    <row r="18" spans="1:10">
      <c r="A18" s="2">
        <v>44306</v>
      </c>
      <c r="D18" t="s">
        <v>213</v>
      </c>
      <c r="E18" s="4"/>
      <c r="F18" s="4">
        <v>75</v>
      </c>
      <c r="G18" s="4"/>
      <c r="H18" s="4"/>
      <c r="I18" s="4"/>
      <c r="J18" s="4">
        <f t="shared" si="0"/>
        <v>75</v>
      </c>
    </row>
    <row r="19" spans="1:10">
      <c r="A19" s="2">
        <v>44316</v>
      </c>
      <c r="C19" t="s">
        <v>105</v>
      </c>
      <c r="D19" t="s">
        <v>25</v>
      </c>
      <c r="E19" s="4"/>
      <c r="F19" s="4"/>
      <c r="G19" s="4">
        <v>13348</v>
      </c>
      <c r="H19" s="4"/>
      <c r="I19" s="4"/>
      <c r="J19" s="4">
        <f t="shared" si="0"/>
        <v>13348</v>
      </c>
    </row>
    <row r="20" spans="1:10">
      <c r="A20" s="2">
        <v>44416</v>
      </c>
      <c r="D20" t="s">
        <v>213</v>
      </c>
      <c r="E20" s="4"/>
      <c r="F20" s="4">
        <v>75</v>
      </c>
      <c r="G20" s="4"/>
      <c r="H20" s="4"/>
      <c r="I20" s="4"/>
      <c r="J20" s="4">
        <f t="shared" si="0"/>
        <v>75</v>
      </c>
    </row>
    <row r="21" spans="1:10" s="32" customFormat="1">
      <c r="A21" s="2">
        <v>44452</v>
      </c>
      <c r="D21" s="32" t="s">
        <v>213</v>
      </c>
      <c r="E21" s="4"/>
      <c r="F21" s="4">
        <v>50</v>
      </c>
      <c r="G21" s="4"/>
      <c r="H21" s="4"/>
      <c r="I21" s="4"/>
      <c r="J21" s="4">
        <f t="shared" si="0"/>
        <v>50</v>
      </c>
    </row>
    <row r="22" spans="1:10">
      <c r="A22" s="2">
        <v>44509</v>
      </c>
      <c r="C22" t="s">
        <v>128</v>
      </c>
      <c r="E22" s="4"/>
      <c r="F22" s="4"/>
      <c r="G22" s="4"/>
      <c r="H22" s="4">
        <v>659.36</v>
      </c>
      <c r="I22" s="4"/>
      <c r="J22" s="4">
        <f t="shared" si="0"/>
        <v>659.36</v>
      </c>
    </row>
    <row r="23" spans="1:10">
      <c r="A23" s="2">
        <v>44547</v>
      </c>
      <c r="C23" t="s">
        <v>156</v>
      </c>
      <c r="D23" t="s">
        <v>175</v>
      </c>
      <c r="E23" s="4"/>
      <c r="F23" s="4"/>
      <c r="G23" s="4"/>
      <c r="H23" s="4"/>
      <c r="I23" s="4">
        <v>33.36</v>
      </c>
      <c r="J23" s="4">
        <f t="shared" si="0"/>
        <v>33.36</v>
      </c>
    </row>
    <row r="24" spans="1:10">
      <c r="A24" s="2">
        <v>44651</v>
      </c>
      <c r="C24" t="s">
        <v>189</v>
      </c>
      <c r="D24" t="s">
        <v>190</v>
      </c>
      <c r="E24" s="4"/>
      <c r="F24" s="4"/>
      <c r="G24" s="4"/>
      <c r="H24" s="4"/>
      <c r="I24" s="4">
        <v>8000</v>
      </c>
      <c r="J24" s="4">
        <f t="shared" si="0"/>
        <v>8000</v>
      </c>
    </row>
    <row r="25" spans="1:10" s="5" customFormat="1">
      <c r="E25" s="6"/>
      <c r="F25" s="7"/>
      <c r="G25" s="7"/>
      <c r="H25" s="7"/>
      <c r="I25" s="7"/>
      <c r="J25" s="7"/>
    </row>
    <row r="26" spans="1:10">
      <c r="E26" s="4"/>
      <c r="F26" s="4"/>
      <c r="G26" s="4"/>
      <c r="H26" s="4"/>
      <c r="I26" s="4"/>
      <c r="J26" s="4"/>
    </row>
    <row r="27" spans="1:10">
      <c r="E27" s="4">
        <f t="shared" ref="E27:J27" si="1">SUM(E13:E24)</f>
        <v>0</v>
      </c>
      <c r="F27" s="4">
        <f t="shared" si="1"/>
        <v>375</v>
      </c>
      <c r="G27" s="4">
        <f t="shared" si="1"/>
        <v>13348</v>
      </c>
      <c r="H27" s="4">
        <f t="shared" si="1"/>
        <v>659.36</v>
      </c>
      <c r="I27" s="4">
        <f t="shared" si="1"/>
        <v>8033.36</v>
      </c>
      <c r="J27" s="4">
        <f t="shared" si="1"/>
        <v>22415.72</v>
      </c>
    </row>
  </sheetData>
  <printOptions gridLines="1"/>
  <pageMargins left="0" right="0" top="3.9763779527559107E-2" bottom="0.39370078740157505" header="0" footer="0"/>
  <pageSetup paperSize="0" fitToWidth="0" fitToHeight="0" pageOrder="overThenDown" orientation="landscape" useFirstPageNumber="1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N52"/>
  <sheetViews>
    <sheetView topLeftCell="F31" workbookViewId="0">
      <selection activeCell="L50" sqref="L50"/>
    </sheetView>
  </sheetViews>
  <sheetFormatPr defaultRowHeight="13.8"/>
  <cols>
    <col min="1" max="1" width="10.69921875" style="9" customWidth="1"/>
    <col min="2" max="2" width="10.69921875" customWidth="1"/>
    <col min="3" max="3" width="13.09765625" customWidth="1"/>
    <col min="4" max="4" width="10.69921875" customWidth="1"/>
    <col min="5" max="5" width="19.3984375" customWidth="1"/>
    <col min="6" max="6" width="14.796875" customWidth="1"/>
    <col min="7" max="7" width="10.69921875" customWidth="1"/>
    <col min="8" max="8" width="12.296875" customWidth="1"/>
    <col min="9" max="9" width="12.19921875" customWidth="1"/>
    <col min="10" max="10" width="12.69921875" customWidth="1"/>
    <col min="11" max="11" width="10.69921875" customWidth="1"/>
    <col min="12" max="12" width="12.09765625" customWidth="1"/>
    <col min="13" max="18" width="10.69921875" customWidth="1"/>
    <col min="19" max="19" width="11.5" customWidth="1"/>
    <col min="20" max="20" width="10.69921875" customWidth="1"/>
    <col min="21" max="21" width="10.69921875" style="9" customWidth="1"/>
    <col min="22" max="1028" width="10.69921875" customWidth="1"/>
    <col min="1029" max="1029" width="8.796875" customWidth="1"/>
  </cols>
  <sheetData>
    <row r="1" spans="1:1028">
      <c r="A1" s="8" t="s">
        <v>0</v>
      </c>
      <c r="F1" s="1"/>
    </row>
    <row r="3" spans="1:1028">
      <c r="A3" s="8" t="s">
        <v>28</v>
      </c>
      <c r="F3" s="1"/>
    </row>
    <row r="5" spans="1:1028">
      <c r="A5" s="9" t="s">
        <v>18</v>
      </c>
    </row>
    <row r="7" spans="1:1028">
      <c r="A7" t="s">
        <v>2</v>
      </c>
      <c r="B7" t="s">
        <v>3</v>
      </c>
    </row>
    <row r="8" spans="1:1028">
      <c r="A8"/>
    </row>
    <row r="9" spans="1:1028">
      <c r="A9" t="s">
        <v>4</v>
      </c>
      <c r="B9" s="2"/>
    </row>
    <row r="11" spans="1:1028" ht="31.2" customHeight="1">
      <c r="A11" s="10" t="s">
        <v>29</v>
      </c>
      <c r="B11" s="11" t="s">
        <v>19</v>
      </c>
      <c r="C11" s="12" t="s">
        <v>30</v>
      </c>
      <c r="D11" s="12" t="s">
        <v>31</v>
      </c>
      <c r="E11" s="12" t="s">
        <v>13</v>
      </c>
      <c r="F11" s="12" t="s">
        <v>22</v>
      </c>
      <c r="G11" s="12" t="s">
        <v>106</v>
      </c>
      <c r="H11" s="12" t="s">
        <v>107</v>
      </c>
      <c r="I11" s="12" t="s">
        <v>108</v>
      </c>
      <c r="J11" s="12" t="s">
        <v>109</v>
      </c>
      <c r="K11" s="12" t="s">
        <v>110</v>
      </c>
      <c r="L11" s="12" t="s">
        <v>32</v>
      </c>
      <c r="M11" s="12" t="s">
        <v>111</v>
      </c>
      <c r="N11" s="12" t="s">
        <v>112</v>
      </c>
      <c r="O11" s="12" t="s">
        <v>113</v>
      </c>
      <c r="P11" s="12" t="s">
        <v>34</v>
      </c>
      <c r="Q11" s="12" t="s">
        <v>35</v>
      </c>
      <c r="R11" s="12" t="s">
        <v>27</v>
      </c>
      <c r="S11" s="12" t="s">
        <v>6</v>
      </c>
      <c r="T11" s="12" t="s">
        <v>36</v>
      </c>
      <c r="U11" s="10" t="s">
        <v>37</v>
      </c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</row>
    <row r="12" spans="1:1028">
      <c r="A12" s="14">
        <v>101328</v>
      </c>
      <c r="B12" s="15">
        <v>44321</v>
      </c>
      <c r="C12" s="16" t="s">
        <v>114</v>
      </c>
      <c r="D12" s="17" t="s">
        <v>115</v>
      </c>
      <c r="E12" s="16" t="s">
        <v>116</v>
      </c>
      <c r="F12" s="16" t="s">
        <v>117</v>
      </c>
      <c r="G12" s="18"/>
      <c r="H12" s="18">
        <v>50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>
        <f>SUM(G12:R12)</f>
        <v>50</v>
      </c>
      <c r="T12" s="18"/>
      <c r="U12" s="19"/>
    </row>
    <row r="13" spans="1:1028">
      <c r="A13" s="14">
        <v>101329</v>
      </c>
      <c r="B13" s="15">
        <v>44321</v>
      </c>
      <c r="C13" s="16" t="s">
        <v>119</v>
      </c>
      <c r="D13" s="17" t="s">
        <v>120</v>
      </c>
      <c r="E13" s="16" t="s">
        <v>121</v>
      </c>
      <c r="F13" s="16" t="s">
        <v>122</v>
      </c>
      <c r="G13" s="18"/>
      <c r="H13" s="18">
        <v>210.36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>
        <f>SUM(G13:R13)</f>
        <v>210.36</v>
      </c>
      <c r="T13" s="20"/>
      <c r="U13" s="19" t="s">
        <v>123</v>
      </c>
    </row>
    <row r="14" spans="1:1028">
      <c r="A14" s="14">
        <v>101330</v>
      </c>
      <c r="B14" s="15">
        <v>44323</v>
      </c>
      <c r="C14" s="16" t="s">
        <v>119</v>
      </c>
      <c r="D14" s="17" t="s">
        <v>124</v>
      </c>
      <c r="E14" s="16" t="s">
        <v>125</v>
      </c>
      <c r="F14" s="16" t="s">
        <v>126</v>
      </c>
      <c r="G14" s="18">
        <v>225.84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>
        <f t="shared" ref="S14:S49" si="0">SUM(G14:R14)</f>
        <v>225.84</v>
      </c>
      <c r="T14" s="18"/>
      <c r="U14" s="19" t="s">
        <v>123</v>
      </c>
    </row>
    <row r="15" spans="1:1028">
      <c r="A15" s="14">
        <v>101331</v>
      </c>
      <c r="B15" s="15">
        <v>44323</v>
      </c>
      <c r="C15" s="16" t="s">
        <v>119</v>
      </c>
      <c r="D15" s="17" t="s">
        <v>124</v>
      </c>
      <c r="E15" s="16" t="s">
        <v>128</v>
      </c>
      <c r="F15" s="16" t="s">
        <v>129</v>
      </c>
      <c r="G15" s="18">
        <v>56.4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>
        <f t="shared" si="0"/>
        <v>56.4</v>
      </c>
      <c r="T15" s="20"/>
      <c r="U15" s="19"/>
    </row>
    <row r="16" spans="1:1028">
      <c r="A16" s="14">
        <v>101332</v>
      </c>
      <c r="B16" s="15">
        <v>44321</v>
      </c>
      <c r="C16" s="16" t="s">
        <v>119</v>
      </c>
      <c r="D16" s="17" t="s">
        <v>127</v>
      </c>
      <c r="E16" s="16" t="s">
        <v>125</v>
      </c>
      <c r="F16" s="16" t="s">
        <v>130</v>
      </c>
      <c r="G16" s="18">
        <v>16.3</v>
      </c>
      <c r="H16" s="18"/>
      <c r="I16" s="18">
        <f>113.71+13.02+4.31+29.95</f>
        <v>160.98999999999998</v>
      </c>
      <c r="J16" s="18"/>
      <c r="K16" s="18"/>
      <c r="L16" s="18"/>
      <c r="M16" s="18"/>
      <c r="N16" s="18"/>
      <c r="O16" s="18"/>
      <c r="P16" s="18"/>
      <c r="Q16" s="18"/>
      <c r="R16" s="18">
        <v>499</v>
      </c>
      <c r="S16" s="18">
        <f t="shared" si="0"/>
        <v>676.29</v>
      </c>
      <c r="T16" s="18">
        <v>102.84</v>
      </c>
      <c r="U16" s="19" t="s">
        <v>123</v>
      </c>
    </row>
    <row r="17" spans="1:21">
      <c r="A17" s="14">
        <v>101333</v>
      </c>
      <c r="B17" s="15">
        <v>44398</v>
      </c>
      <c r="C17" s="16" t="s">
        <v>131</v>
      </c>
      <c r="D17" s="17" t="s">
        <v>132</v>
      </c>
      <c r="E17" s="16" t="s">
        <v>133</v>
      </c>
      <c r="F17" s="16" t="s">
        <v>134</v>
      </c>
      <c r="G17" s="18"/>
      <c r="H17" s="18"/>
      <c r="I17" s="18"/>
      <c r="J17" s="18"/>
      <c r="K17" s="18"/>
      <c r="L17" s="18"/>
      <c r="M17" s="18">
        <v>106.22</v>
      </c>
      <c r="N17" s="18"/>
      <c r="O17" s="18"/>
      <c r="P17" s="18"/>
      <c r="Q17" s="18"/>
      <c r="R17" s="18"/>
      <c r="S17" s="18">
        <f t="shared" si="0"/>
        <v>106.22</v>
      </c>
      <c r="T17" s="20"/>
      <c r="U17" s="19" t="s">
        <v>123</v>
      </c>
    </row>
    <row r="18" spans="1:21">
      <c r="A18" s="14">
        <v>101334</v>
      </c>
      <c r="B18" s="15">
        <v>44398</v>
      </c>
      <c r="C18" s="16" t="s">
        <v>131</v>
      </c>
      <c r="D18" s="17" t="s">
        <v>135</v>
      </c>
      <c r="E18" s="16" t="s">
        <v>121</v>
      </c>
      <c r="F18" s="16" t="s">
        <v>136</v>
      </c>
      <c r="G18" s="18"/>
      <c r="H18" s="18"/>
      <c r="I18" s="18"/>
      <c r="J18" s="18">
        <v>120</v>
      </c>
      <c r="K18" s="18"/>
      <c r="L18" s="18"/>
      <c r="M18" s="18"/>
      <c r="N18" s="18"/>
      <c r="O18" s="18"/>
      <c r="P18" s="18"/>
      <c r="Q18" s="18"/>
      <c r="R18" s="18"/>
      <c r="S18" s="18">
        <f t="shared" si="0"/>
        <v>120</v>
      </c>
      <c r="T18" s="18"/>
      <c r="U18" s="19" t="s">
        <v>137</v>
      </c>
    </row>
    <row r="19" spans="1:21">
      <c r="A19" s="14">
        <v>101335</v>
      </c>
      <c r="B19" s="15">
        <v>44398</v>
      </c>
      <c r="C19" s="16" t="s">
        <v>131</v>
      </c>
      <c r="D19" s="17" t="s">
        <v>138</v>
      </c>
      <c r="E19" s="16" t="s">
        <v>139</v>
      </c>
      <c r="F19" s="16" t="s">
        <v>50</v>
      </c>
      <c r="G19" s="18"/>
      <c r="H19" s="18"/>
      <c r="I19" s="18"/>
      <c r="J19" s="18"/>
      <c r="K19" s="18"/>
      <c r="L19" s="18"/>
      <c r="M19" s="18">
        <v>307.89</v>
      </c>
      <c r="N19" s="18"/>
      <c r="O19" s="18"/>
      <c r="P19" s="18"/>
      <c r="Q19" s="18"/>
      <c r="R19" s="18"/>
      <c r="S19" s="18">
        <f t="shared" si="0"/>
        <v>307.89</v>
      </c>
      <c r="T19" s="20"/>
      <c r="U19" s="19" t="s">
        <v>137</v>
      </c>
    </row>
    <row r="20" spans="1:21">
      <c r="A20" s="14">
        <v>101336</v>
      </c>
      <c r="B20" s="15">
        <v>44398</v>
      </c>
      <c r="C20" s="16" t="s">
        <v>131</v>
      </c>
      <c r="D20" s="17" t="s">
        <v>140</v>
      </c>
      <c r="E20" s="16" t="s">
        <v>125</v>
      </c>
      <c r="F20" s="16" t="s">
        <v>126</v>
      </c>
      <c r="G20" s="18">
        <v>388.56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>
        <f t="shared" si="0"/>
        <v>388.56</v>
      </c>
      <c r="T20" s="18"/>
      <c r="U20" s="19" t="s">
        <v>137</v>
      </c>
    </row>
    <row r="21" spans="1:21">
      <c r="A21" s="14">
        <v>101337</v>
      </c>
      <c r="B21" s="15">
        <v>44398</v>
      </c>
      <c r="C21" s="16" t="s">
        <v>131</v>
      </c>
      <c r="D21" s="17" t="s">
        <v>140</v>
      </c>
      <c r="E21" s="16" t="s">
        <v>128</v>
      </c>
      <c r="F21" s="16" t="s">
        <v>129</v>
      </c>
      <c r="G21" s="18">
        <v>97.2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>
        <f t="shared" si="0"/>
        <v>97.2</v>
      </c>
      <c r="T21" s="20"/>
      <c r="U21" s="19"/>
    </row>
    <row r="22" spans="1:21">
      <c r="A22" s="14">
        <v>101338</v>
      </c>
      <c r="B22" s="15">
        <v>44398</v>
      </c>
      <c r="C22" s="16" t="s">
        <v>131</v>
      </c>
      <c r="D22" s="17" t="s">
        <v>141</v>
      </c>
      <c r="E22" s="16" t="s">
        <v>125</v>
      </c>
      <c r="F22" s="16" t="s">
        <v>142</v>
      </c>
      <c r="G22" s="18">
        <v>21.35</v>
      </c>
      <c r="H22" s="18"/>
      <c r="I22" s="18">
        <v>29.54</v>
      </c>
      <c r="J22" s="18"/>
      <c r="K22" s="18"/>
      <c r="L22" s="18"/>
      <c r="M22" s="18"/>
      <c r="N22" s="18"/>
      <c r="O22" s="18"/>
      <c r="P22" s="18"/>
      <c r="Q22" s="18"/>
      <c r="R22" s="18">
        <v>4.99</v>
      </c>
      <c r="S22" s="18">
        <f t="shared" si="0"/>
        <v>55.88</v>
      </c>
      <c r="T22" s="18">
        <v>5.76</v>
      </c>
      <c r="U22" s="19"/>
    </row>
    <row r="23" spans="1:21">
      <c r="A23" s="14">
        <v>101339</v>
      </c>
      <c r="B23" s="15">
        <v>44447</v>
      </c>
      <c r="C23" s="16" t="s">
        <v>143</v>
      </c>
      <c r="D23" s="17" t="s">
        <v>144</v>
      </c>
      <c r="E23" s="16" t="s">
        <v>105</v>
      </c>
      <c r="F23" s="16" t="s">
        <v>145</v>
      </c>
      <c r="G23" s="18"/>
      <c r="H23" s="18"/>
      <c r="I23" s="18"/>
      <c r="J23" s="18"/>
      <c r="K23" s="18"/>
      <c r="L23" s="18"/>
      <c r="M23" s="18"/>
      <c r="N23" s="18">
        <v>80</v>
      </c>
      <c r="O23" s="18"/>
      <c r="P23" s="18"/>
      <c r="Q23" s="18"/>
      <c r="R23" s="18"/>
      <c r="S23" s="18">
        <f t="shared" si="0"/>
        <v>80</v>
      </c>
      <c r="T23" s="20"/>
      <c r="U23" s="19"/>
    </row>
    <row r="24" spans="1:21">
      <c r="A24" s="14">
        <v>101340</v>
      </c>
      <c r="B24" s="15">
        <v>44447</v>
      </c>
      <c r="C24" s="16" t="s">
        <v>143</v>
      </c>
      <c r="D24" s="17" t="s">
        <v>146</v>
      </c>
      <c r="E24" s="16" t="s">
        <v>105</v>
      </c>
      <c r="F24" s="16" t="s">
        <v>147</v>
      </c>
      <c r="G24" s="18"/>
      <c r="H24" s="18"/>
      <c r="I24" s="18"/>
      <c r="J24" s="18"/>
      <c r="K24" s="18">
        <v>168</v>
      </c>
      <c r="L24" s="18"/>
      <c r="M24" s="18"/>
      <c r="N24" s="18"/>
      <c r="O24" s="18"/>
      <c r="P24" s="18"/>
      <c r="Q24" s="18"/>
      <c r="R24" s="18"/>
      <c r="S24" s="18">
        <f t="shared" si="0"/>
        <v>168</v>
      </c>
      <c r="T24" s="18"/>
      <c r="U24" s="19" t="s">
        <v>137</v>
      </c>
    </row>
    <row r="25" spans="1:21">
      <c r="A25" s="14">
        <v>101341</v>
      </c>
      <c r="B25" s="15">
        <v>44448</v>
      </c>
      <c r="C25" s="16" t="s">
        <v>143</v>
      </c>
      <c r="D25" s="17" t="s">
        <v>148</v>
      </c>
      <c r="E25" s="16" t="s">
        <v>125</v>
      </c>
      <c r="F25" s="16" t="s">
        <v>126</v>
      </c>
      <c r="G25" s="18">
        <v>422.4</v>
      </c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>
        <f t="shared" si="0"/>
        <v>422.4</v>
      </c>
      <c r="T25" s="20"/>
      <c r="U25" s="19" t="s">
        <v>137</v>
      </c>
    </row>
    <row r="26" spans="1:21">
      <c r="A26" s="14">
        <v>101342</v>
      </c>
      <c r="B26" s="15">
        <v>44448</v>
      </c>
      <c r="C26" s="16" t="s">
        <v>143</v>
      </c>
      <c r="D26" s="17" t="s">
        <v>148</v>
      </c>
      <c r="E26" s="16" t="s">
        <v>128</v>
      </c>
      <c r="F26" s="16" t="s">
        <v>129</v>
      </c>
      <c r="G26" s="18">
        <v>105.6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>
        <f t="shared" si="0"/>
        <v>105.6</v>
      </c>
      <c r="T26" s="18"/>
      <c r="U26" s="19" t="s">
        <v>137</v>
      </c>
    </row>
    <row r="27" spans="1:21">
      <c r="A27" s="14">
        <v>101343</v>
      </c>
      <c r="B27" s="15">
        <v>44447</v>
      </c>
      <c r="C27" s="16" t="s">
        <v>143</v>
      </c>
      <c r="D27" s="17" t="s">
        <v>149</v>
      </c>
      <c r="E27" s="16" t="s">
        <v>125</v>
      </c>
      <c r="F27" s="16" t="s">
        <v>150</v>
      </c>
      <c r="G27" s="18">
        <v>38.450000000000003</v>
      </c>
      <c r="H27" s="18"/>
      <c r="I27" s="18">
        <f>2.85+31.14</f>
        <v>33.99</v>
      </c>
      <c r="J27" s="18"/>
      <c r="K27" s="18">
        <f>53.64+12.29</f>
        <v>65.930000000000007</v>
      </c>
      <c r="L27" s="18"/>
      <c r="M27" s="18"/>
      <c r="N27" s="18"/>
      <c r="O27" s="18"/>
      <c r="P27" s="18"/>
      <c r="Q27" s="18"/>
      <c r="R27" s="18"/>
      <c r="S27" s="18">
        <f t="shared" si="0"/>
        <v>138.37</v>
      </c>
      <c r="T27" s="20">
        <v>9.42</v>
      </c>
      <c r="U27" s="19" t="s">
        <v>137</v>
      </c>
    </row>
    <row r="28" spans="1:21">
      <c r="A28" s="14" t="s">
        <v>151</v>
      </c>
      <c r="B28" s="15">
        <v>44447</v>
      </c>
      <c r="C28" s="16" t="s">
        <v>152</v>
      </c>
      <c r="D28" s="17"/>
      <c r="E28" s="16" t="s">
        <v>153</v>
      </c>
      <c r="F28" s="16" t="s">
        <v>154</v>
      </c>
      <c r="G28" s="18"/>
      <c r="H28" s="18">
        <v>35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>
        <f t="shared" si="0"/>
        <v>35</v>
      </c>
      <c r="T28" s="18"/>
      <c r="U28" s="19"/>
    </row>
    <row r="29" spans="1:21">
      <c r="A29" s="14" t="s">
        <v>151</v>
      </c>
      <c r="B29" s="15">
        <v>44529</v>
      </c>
      <c r="C29" s="16" t="s">
        <v>176</v>
      </c>
      <c r="D29" s="17" t="s">
        <v>155</v>
      </c>
      <c r="E29" s="16" t="s">
        <v>156</v>
      </c>
      <c r="F29" s="16" t="s">
        <v>157</v>
      </c>
      <c r="G29" s="18"/>
      <c r="H29" s="18"/>
      <c r="I29" s="18"/>
      <c r="J29" s="18"/>
      <c r="K29" s="18">
        <v>33.36</v>
      </c>
      <c r="L29" s="18"/>
      <c r="M29" s="18"/>
      <c r="N29" s="18"/>
      <c r="O29" s="18"/>
      <c r="P29" s="18"/>
      <c r="Q29" s="18"/>
      <c r="R29" s="18"/>
      <c r="S29" s="18">
        <f t="shared" si="0"/>
        <v>33.36</v>
      </c>
      <c r="T29" s="20">
        <v>5.56</v>
      </c>
      <c r="U29" s="19"/>
    </row>
    <row r="30" spans="1:21">
      <c r="A30" s="14">
        <v>101344</v>
      </c>
      <c r="B30" s="15">
        <v>44538</v>
      </c>
      <c r="C30" s="16" t="s">
        <v>176</v>
      </c>
      <c r="D30" s="17" t="s">
        <v>158</v>
      </c>
      <c r="E30" s="16" t="s">
        <v>159</v>
      </c>
      <c r="F30" s="16" t="s">
        <v>160</v>
      </c>
      <c r="G30" s="18"/>
      <c r="H30" s="18"/>
      <c r="I30" s="18"/>
      <c r="J30" s="18"/>
      <c r="K30" s="18">
        <v>791.82</v>
      </c>
      <c r="L30" s="18"/>
      <c r="M30" s="18"/>
      <c r="N30" s="18"/>
      <c r="O30" s="18"/>
      <c r="P30" s="18"/>
      <c r="Q30" s="18"/>
      <c r="R30" s="18"/>
      <c r="S30" s="18">
        <f t="shared" si="0"/>
        <v>791.82</v>
      </c>
      <c r="T30" s="18">
        <v>131.97</v>
      </c>
      <c r="U30" s="19" t="s">
        <v>123</v>
      </c>
    </row>
    <row r="31" spans="1:21">
      <c r="A31" s="14">
        <v>101345</v>
      </c>
      <c r="B31" s="15">
        <v>44538</v>
      </c>
      <c r="C31" s="16" t="s">
        <v>176</v>
      </c>
      <c r="D31" s="17" t="s">
        <v>161</v>
      </c>
      <c r="E31" s="16" t="s">
        <v>162</v>
      </c>
      <c r="F31" s="16" t="s">
        <v>163</v>
      </c>
      <c r="G31" s="18"/>
      <c r="H31" s="18"/>
      <c r="I31" s="18"/>
      <c r="J31" s="18"/>
      <c r="K31" s="18">
        <v>14.09</v>
      </c>
      <c r="L31" s="18"/>
      <c r="M31" s="18"/>
      <c r="N31" s="18"/>
      <c r="O31" s="18"/>
      <c r="P31" s="18"/>
      <c r="Q31" s="18"/>
      <c r="R31" s="18"/>
      <c r="S31" s="18">
        <f t="shared" si="0"/>
        <v>14.09</v>
      </c>
      <c r="T31" s="20">
        <v>2.35</v>
      </c>
      <c r="U31" s="19"/>
    </row>
    <row r="32" spans="1:21">
      <c r="A32" s="14">
        <v>101346</v>
      </c>
      <c r="B32" s="15">
        <v>44538</v>
      </c>
      <c r="C32" s="16" t="s">
        <v>176</v>
      </c>
      <c r="D32" s="17" t="s">
        <v>164</v>
      </c>
      <c r="E32" s="16" t="s">
        <v>125</v>
      </c>
      <c r="F32" s="16" t="s">
        <v>126</v>
      </c>
      <c r="G32" s="18">
        <v>614.4</v>
      </c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>
        <f t="shared" si="0"/>
        <v>614.4</v>
      </c>
      <c r="T32" s="18"/>
      <c r="U32" s="19" t="s">
        <v>137</v>
      </c>
    </row>
    <row r="33" spans="1:21">
      <c r="A33" s="14">
        <v>101347</v>
      </c>
      <c r="B33" s="15">
        <v>44538</v>
      </c>
      <c r="C33" s="16" t="s">
        <v>176</v>
      </c>
      <c r="D33" s="17" t="s">
        <v>164</v>
      </c>
      <c r="E33" s="16" t="s">
        <v>128</v>
      </c>
      <c r="F33" s="16" t="s">
        <v>129</v>
      </c>
      <c r="G33" s="18">
        <v>153.6</v>
      </c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>
        <f t="shared" si="0"/>
        <v>153.6</v>
      </c>
      <c r="T33" s="20"/>
      <c r="U33" s="19" t="s">
        <v>137</v>
      </c>
    </row>
    <row r="34" spans="1:21">
      <c r="A34" s="14">
        <v>101348</v>
      </c>
      <c r="B34" s="15">
        <v>44538</v>
      </c>
      <c r="C34" s="16" t="s">
        <v>176</v>
      </c>
      <c r="D34" s="17" t="s">
        <v>165</v>
      </c>
      <c r="E34" s="16" t="s">
        <v>125</v>
      </c>
      <c r="F34" s="16" t="s">
        <v>142</v>
      </c>
      <c r="G34" s="18">
        <v>60.6</v>
      </c>
      <c r="H34" s="18"/>
      <c r="I34" s="18">
        <v>115.12</v>
      </c>
      <c r="J34" s="18"/>
      <c r="K34" s="18"/>
      <c r="L34" s="18"/>
      <c r="M34" s="18"/>
      <c r="N34" s="18"/>
      <c r="O34" s="18">
        <v>268</v>
      </c>
      <c r="P34" s="18"/>
      <c r="Q34" s="18">
        <v>70.59</v>
      </c>
      <c r="R34" s="18"/>
      <c r="S34" s="18">
        <f t="shared" si="0"/>
        <v>514.31000000000006</v>
      </c>
      <c r="T34" s="18">
        <v>11.3</v>
      </c>
      <c r="U34" s="19" t="s">
        <v>137</v>
      </c>
    </row>
    <row r="35" spans="1:21">
      <c r="A35" s="14">
        <v>101349</v>
      </c>
      <c r="B35" s="15">
        <v>44538</v>
      </c>
      <c r="C35" s="16" t="s">
        <v>176</v>
      </c>
      <c r="D35" s="17" t="s">
        <v>166</v>
      </c>
      <c r="E35" s="16" t="s">
        <v>167</v>
      </c>
      <c r="F35" s="16" t="s">
        <v>168</v>
      </c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>
        <v>150</v>
      </c>
      <c r="R35" s="18"/>
      <c r="S35" s="18">
        <f t="shared" si="0"/>
        <v>150</v>
      </c>
      <c r="T35" s="20"/>
      <c r="U35" s="19" t="s">
        <v>137</v>
      </c>
    </row>
    <row r="36" spans="1:21">
      <c r="A36" s="14">
        <v>101350</v>
      </c>
      <c r="B36" s="15">
        <v>44538</v>
      </c>
      <c r="C36" s="16" t="s">
        <v>176</v>
      </c>
      <c r="D36" s="17" t="s">
        <v>169</v>
      </c>
      <c r="E36" s="16" t="s">
        <v>170</v>
      </c>
      <c r="F36" s="16" t="s">
        <v>171</v>
      </c>
      <c r="G36" s="21"/>
      <c r="H36" s="21"/>
      <c r="I36" s="21"/>
      <c r="J36" s="21"/>
      <c r="K36" s="21"/>
      <c r="L36" s="21"/>
      <c r="M36" s="21"/>
      <c r="N36" s="21"/>
      <c r="O36" s="21">
        <v>150.47999999999999</v>
      </c>
      <c r="P36" s="21"/>
      <c r="Q36" s="21"/>
      <c r="R36" s="21"/>
      <c r="S36" s="18">
        <f t="shared" si="0"/>
        <v>150.47999999999999</v>
      </c>
      <c r="T36" s="21">
        <v>25.08</v>
      </c>
      <c r="U36" s="19" t="s">
        <v>137</v>
      </c>
    </row>
    <row r="37" spans="1:21">
      <c r="A37" s="14">
        <v>101351</v>
      </c>
      <c r="B37" s="15">
        <v>44538</v>
      </c>
      <c r="C37" s="16" t="s">
        <v>176</v>
      </c>
      <c r="D37" s="17" t="s">
        <v>172</v>
      </c>
      <c r="E37" s="16" t="s">
        <v>173</v>
      </c>
      <c r="F37" s="16" t="s">
        <v>174</v>
      </c>
      <c r="G37" s="21"/>
      <c r="H37" s="21"/>
      <c r="I37" s="21"/>
      <c r="J37" s="21"/>
      <c r="K37" s="21"/>
      <c r="L37" s="21"/>
      <c r="M37" s="21"/>
      <c r="N37" s="21"/>
      <c r="O37" s="21">
        <v>261.60000000000002</v>
      </c>
      <c r="P37" s="21"/>
      <c r="Q37" s="21"/>
      <c r="R37" s="21"/>
      <c r="S37" s="18">
        <f t="shared" si="0"/>
        <v>261.60000000000002</v>
      </c>
      <c r="T37" s="22">
        <v>43.6</v>
      </c>
      <c r="U37" s="19" t="s">
        <v>137</v>
      </c>
    </row>
    <row r="38" spans="1:21">
      <c r="A38" s="14" t="s">
        <v>151</v>
      </c>
      <c r="B38" s="15">
        <v>44551</v>
      </c>
      <c r="C38" s="16" t="s">
        <v>177</v>
      </c>
      <c r="D38" s="17" t="s">
        <v>178</v>
      </c>
      <c r="E38" s="16" t="s">
        <v>156</v>
      </c>
      <c r="F38" s="16" t="s">
        <v>157</v>
      </c>
      <c r="G38" s="21"/>
      <c r="H38" s="21"/>
      <c r="I38" s="21"/>
      <c r="J38" s="21"/>
      <c r="K38" s="21">
        <v>33.36</v>
      </c>
      <c r="L38" s="21"/>
      <c r="M38" s="21"/>
      <c r="N38" s="21"/>
      <c r="O38" s="21"/>
      <c r="P38" s="21"/>
      <c r="Q38" s="21"/>
      <c r="R38" s="21"/>
      <c r="S38" s="18">
        <f t="shared" si="0"/>
        <v>33.36</v>
      </c>
      <c r="T38" s="21">
        <v>5.56</v>
      </c>
      <c r="U38" s="19"/>
    </row>
    <row r="39" spans="1:21">
      <c r="A39" s="14" t="s">
        <v>151</v>
      </c>
      <c r="B39" s="15">
        <v>44563</v>
      </c>
      <c r="C39" s="14"/>
      <c r="D39" s="17"/>
      <c r="E39" s="16" t="s">
        <v>179</v>
      </c>
      <c r="F39" s="16" t="s">
        <v>180</v>
      </c>
      <c r="G39" s="21"/>
      <c r="H39" s="21">
        <v>9</v>
      </c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18">
        <f t="shared" si="0"/>
        <v>9</v>
      </c>
      <c r="T39" s="22"/>
      <c r="U39" s="19"/>
    </row>
    <row r="40" spans="1:21">
      <c r="A40" s="14" t="s">
        <v>151</v>
      </c>
      <c r="B40" s="15">
        <v>44592</v>
      </c>
      <c r="C40" s="16" t="s">
        <v>177</v>
      </c>
      <c r="D40" s="17" t="s">
        <v>181</v>
      </c>
      <c r="E40" s="16" t="s">
        <v>156</v>
      </c>
      <c r="F40" s="16" t="s">
        <v>157</v>
      </c>
      <c r="G40" s="21"/>
      <c r="H40" s="21"/>
      <c r="I40" s="21"/>
      <c r="J40" s="21"/>
      <c r="K40" s="21">
        <v>34.56</v>
      </c>
      <c r="L40" s="21"/>
      <c r="M40" s="21"/>
      <c r="N40" s="21"/>
      <c r="O40" s="21"/>
      <c r="P40" s="21"/>
      <c r="Q40" s="21"/>
      <c r="R40" s="21"/>
      <c r="S40" s="18">
        <f t="shared" si="0"/>
        <v>34.56</v>
      </c>
      <c r="T40" s="21">
        <v>5.76</v>
      </c>
      <c r="U40" s="19"/>
    </row>
    <row r="41" spans="1:21" s="33" customFormat="1">
      <c r="A41" s="14" t="s">
        <v>151</v>
      </c>
      <c r="B41" s="15">
        <v>44594</v>
      </c>
      <c r="C41" s="16"/>
      <c r="D41" s="17"/>
      <c r="E41" s="16" t="s">
        <v>179</v>
      </c>
      <c r="F41" s="16" t="s">
        <v>180</v>
      </c>
      <c r="G41" s="21"/>
      <c r="H41" s="21">
        <v>12</v>
      </c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18">
        <f t="shared" si="0"/>
        <v>12</v>
      </c>
      <c r="T41" s="21"/>
      <c r="U41" s="19"/>
    </row>
    <row r="42" spans="1:21" s="33" customFormat="1">
      <c r="A42" s="14" t="s">
        <v>151</v>
      </c>
      <c r="B42" s="15">
        <v>44620</v>
      </c>
      <c r="C42" s="16" t="s">
        <v>177</v>
      </c>
      <c r="D42" s="17" t="s">
        <v>182</v>
      </c>
      <c r="E42" s="16" t="s">
        <v>156</v>
      </c>
      <c r="F42" s="16" t="s">
        <v>157</v>
      </c>
      <c r="G42" s="21"/>
      <c r="H42" s="21"/>
      <c r="I42" s="21"/>
      <c r="J42" s="21"/>
      <c r="K42" s="21">
        <v>33.36</v>
      </c>
      <c r="L42" s="21"/>
      <c r="M42" s="21"/>
      <c r="N42" s="21"/>
      <c r="O42" s="21"/>
      <c r="P42" s="21"/>
      <c r="Q42" s="21"/>
      <c r="R42" s="21"/>
      <c r="S42" s="18">
        <f t="shared" si="0"/>
        <v>33.36</v>
      </c>
      <c r="T42" s="21">
        <v>5.56</v>
      </c>
      <c r="U42" s="19"/>
    </row>
    <row r="43" spans="1:21" s="33" customFormat="1">
      <c r="A43" s="14" t="s">
        <v>151</v>
      </c>
      <c r="B43" s="15">
        <v>44625</v>
      </c>
      <c r="C43" s="16"/>
      <c r="D43" s="17"/>
      <c r="E43" s="16" t="s">
        <v>179</v>
      </c>
      <c r="F43" s="16" t="s">
        <v>180</v>
      </c>
      <c r="G43" s="21"/>
      <c r="H43" s="21">
        <v>10</v>
      </c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18">
        <f t="shared" si="0"/>
        <v>10</v>
      </c>
      <c r="T43" s="21"/>
      <c r="U43" s="19"/>
    </row>
    <row r="44" spans="1:21" s="33" customFormat="1">
      <c r="A44" s="14">
        <v>101352</v>
      </c>
      <c r="B44" s="15">
        <v>44629</v>
      </c>
      <c r="C44" s="16" t="s">
        <v>183</v>
      </c>
      <c r="D44" s="17" t="s">
        <v>184</v>
      </c>
      <c r="E44" s="16" t="s">
        <v>185</v>
      </c>
      <c r="F44" s="16" t="s">
        <v>186</v>
      </c>
      <c r="G44" s="21"/>
      <c r="H44" s="21"/>
      <c r="I44" s="21">
        <v>100</v>
      </c>
      <c r="J44" s="21"/>
      <c r="K44" s="21"/>
      <c r="L44" s="21"/>
      <c r="M44" s="21"/>
      <c r="N44" s="21"/>
      <c r="O44" s="21"/>
      <c r="P44" s="21"/>
      <c r="Q44" s="21"/>
      <c r="R44" s="21"/>
      <c r="S44" s="18">
        <f t="shared" si="0"/>
        <v>100</v>
      </c>
      <c r="T44" s="21"/>
      <c r="U44" s="19"/>
    </row>
    <row r="45" spans="1:21" s="34" customFormat="1">
      <c r="A45" s="14">
        <v>101353</v>
      </c>
      <c r="B45" s="15">
        <v>44629</v>
      </c>
      <c r="C45" s="16" t="s">
        <v>183</v>
      </c>
      <c r="D45" s="17" t="s">
        <v>187</v>
      </c>
      <c r="E45" s="16" t="s">
        <v>125</v>
      </c>
      <c r="F45" s="16" t="s">
        <v>126</v>
      </c>
      <c r="G45" s="21">
        <v>806.4</v>
      </c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18">
        <f t="shared" si="0"/>
        <v>806.4</v>
      </c>
      <c r="T45" s="21"/>
      <c r="U45" s="19" t="s">
        <v>123</v>
      </c>
    </row>
    <row r="46" spans="1:21" s="34" customFormat="1">
      <c r="A46" s="14">
        <v>101354</v>
      </c>
      <c r="B46" s="15">
        <v>44629</v>
      </c>
      <c r="C46" s="16" t="s">
        <v>183</v>
      </c>
      <c r="D46" s="17" t="s">
        <v>187</v>
      </c>
      <c r="E46" s="16" t="s">
        <v>128</v>
      </c>
      <c r="F46" s="16" t="s">
        <v>129</v>
      </c>
      <c r="G46" s="21">
        <v>201.6</v>
      </c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18">
        <f t="shared" si="0"/>
        <v>201.6</v>
      </c>
      <c r="T46" s="21"/>
      <c r="U46" s="19" t="s">
        <v>123</v>
      </c>
    </row>
    <row r="47" spans="1:21" s="33" customFormat="1">
      <c r="A47" s="14">
        <v>101355</v>
      </c>
      <c r="B47" s="15">
        <v>44629</v>
      </c>
      <c r="C47" s="16" t="s">
        <v>183</v>
      </c>
      <c r="D47" s="17" t="s">
        <v>188</v>
      </c>
      <c r="E47" s="16" t="s">
        <v>125</v>
      </c>
      <c r="F47" s="16" t="s">
        <v>150</v>
      </c>
      <c r="G47" s="21">
        <v>51.7</v>
      </c>
      <c r="H47" s="21"/>
      <c r="I47" s="21">
        <v>44.44</v>
      </c>
      <c r="J47" s="21"/>
      <c r="K47" s="21">
        <v>33.36</v>
      </c>
      <c r="L47" s="21"/>
      <c r="M47" s="21"/>
      <c r="N47" s="21"/>
      <c r="O47" s="21"/>
      <c r="P47" s="21"/>
      <c r="Q47" s="21">
        <f>1.99+39.86+35.96+16.5+43.96+5.15</f>
        <v>143.42000000000002</v>
      </c>
      <c r="R47" s="21"/>
      <c r="S47" s="18">
        <f t="shared" si="0"/>
        <v>272.92</v>
      </c>
      <c r="T47" s="21">
        <v>5.64</v>
      </c>
      <c r="U47" s="19" t="s">
        <v>137</v>
      </c>
    </row>
    <row r="48" spans="1:21" s="35" customFormat="1">
      <c r="A48" s="14" t="s">
        <v>151</v>
      </c>
      <c r="B48" s="15">
        <v>44644</v>
      </c>
      <c r="C48" s="16"/>
      <c r="D48" s="17"/>
      <c r="E48" s="16" t="s">
        <v>179</v>
      </c>
      <c r="F48" s="16" t="s">
        <v>180</v>
      </c>
      <c r="G48" s="21"/>
      <c r="H48" s="21">
        <v>10</v>
      </c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18">
        <f t="shared" si="0"/>
        <v>10</v>
      </c>
      <c r="T48" s="21"/>
      <c r="U48" s="19"/>
    </row>
    <row r="49" spans="1:1028" s="35" customFormat="1">
      <c r="A49" s="14" t="s">
        <v>151</v>
      </c>
      <c r="B49" s="15">
        <v>44648</v>
      </c>
      <c r="C49" s="16" t="s">
        <v>177</v>
      </c>
      <c r="D49" s="17" t="s">
        <v>191</v>
      </c>
      <c r="E49" s="16" t="s">
        <v>156</v>
      </c>
      <c r="F49" s="16" t="s">
        <v>157</v>
      </c>
      <c r="G49" s="21"/>
      <c r="H49" s="21"/>
      <c r="I49" s="21"/>
      <c r="J49" s="21"/>
      <c r="K49" s="21">
        <v>33.36</v>
      </c>
      <c r="L49" s="21"/>
      <c r="M49" s="21"/>
      <c r="N49" s="21"/>
      <c r="O49" s="21"/>
      <c r="P49" s="21"/>
      <c r="Q49" s="21"/>
      <c r="R49" s="21"/>
      <c r="S49" s="18">
        <f t="shared" si="0"/>
        <v>33.36</v>
      </c>
      <c r="T49" s="21">
        <v>5.56</v>
      </c>
      <c r="U49" s="19"/>
    </row>
    <row r="50" spans="1:1028">
      <c r="A50" s="14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4"/>
    </row>
    <row r="51" spans="1:1028">
      <c r="A51" s="23"/>
      <c r="B51" s="24"/>
      <c r="C51" s="24"/>
      <c r="D51" s="24"/>
      <c r="E51" s="24"/>
      <c r="F51" s="24" t="s">
        <v>38</v>
      </c>
      <c r="G51" s="25">
        <f t="shared" ref="G51:T51" si="1">SUM(G12:G50)</f>
        <v>3260.3999999999996</v>
      </c>
      <c r="H51" s="25">
        <f t="shared" si="1"/>
        <v>336.36</v>
      </c>
      <c r="I51" s="25">
        <f t="shared" si="1"/>
        <v>484.08</v>
      </c>
      <c r="J51" s="25">
        <f t="shared" si="1"/>
        <v>120</v>
      </c>
      <c r="K51" s="25">
        <f t="shared" si="1"/>
        <v>1241.1999999999996</v>
      </c>
      <c r="L51" s="25">
        <f t="shared" si="1"/>
        <v>0</v>
      </c>
      <c r="M51" s="25">
        <f t="shared" si="1"/>
        <v>414.11</v>
      </c>
      <c r="N51" s="25">
        <f t="shared" si="1"/>
        <v>80</v>
      </c>
      <c r="O51" s="25">
        <f t="shared" si="1"/>
        <v>680.08</v>
      </c>
      <c r="P51" s="25">
        <f t="shared" si="1"/>
        <v>0</v>
      </c>
      <c r="Q51" s="25">
        <f t="shared" si="1"/>
        <v>364.01</v>
      </c>
      <c r="R51" s="25">
        <f t="shared" si="1"/>
        <v>503.99</v>
      </c>
      <c r="S51" s="25">
        <f t="shared" si="1"/>
        <v>7484.2300000000005</v>
      </c>
      <c r="T51" s="25">
        <f t="shared" si="1"/>
        <v>365.96000000000004</v>
      </c>
      <c r="U51" s="23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</row>
    <row r="52" spans="1:1028">
      <c r="M52" s="1"/>
      <c r="N52" s="1"/>
      <c r="O52" s="1"/>
      <c r="P52" s="1"/>
      <c r="Q52" s="1"/>
      <c r="R52" s="1"/>
    </row>
  </sheetData>
  <phoneticPr fontId="6" type="noConversion"/>
  <printOptions gridLines="1"/>
  <pageMargins left="0" right="0" top="3.9763779527559107E-2" bottom="0.39370078740157505" header="0" footer="0"/>
  <pageSetup paperSize="0" fitToWidth="0" fitToHeight="0" pageOrder="overThenDown" orientation="landscape" useFirstPageNumber="1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3"/>
  <sheetViews>
    <sheetView topLeftCell="A13" workbookViewId="0">
      <selection activeCell="F33" sqref="F33"/>
    </sheetView>
  </sheetViews>
  <sheetFormatPr defaultRowHeight="13.8"/>
  <cols>
    <col min="1" max="6" width="10.69921875" customWidth="1"/>
    <col min="7" max="7" width="8.796875" customWidth="1"/>
  </cols>
  <sheetData>
    <row r="1" spans="1:6">
      <c r="A1" s="1" t="s">
        <v>0</v>
      </c>
    </row>
    <row r="3" spans="1:6">
      <c r="A3" s="1" t="s">
        <v>39</v>
      </c>
    </row>
    <row r="5" spans="1:6">
      <c r="A5" t="s">
        <v>18</v>
      </c>
    </row>
    <row r="7" spans="1:6">
      <c r="A7" t="s">
        <v>2</v>
      </c>
      <c r="B7" t="s">
        <v>3</v>
      </c>
    </row>
    <row r="10" spans="1:6">
      <c r="A10" t="s">
        <v>40</v>
      </c>
      <c r="F10" s="26">
        <v>9974.42</v>
      </c>
    </row>
    <row r="11" spans="1:6">
      <c r="F11" s="26"/>
    </row>
    <row r="12" spans="1:6">
      <c r="A12" t="s">
        <v>41</v>
      </c>
      <c r="B12" t="s">
        <v>23</v>
      </c>
      <c r="D12" s="26">
        <f>Receipts!E27</f>
        <v>0</v>
      </c>
      <c r="F12" s="26"/>
    </row>
    <row r="13" spans="1:6">
      <c r="B13" t="s">
        <v>42</v>
      </c>
      <c r="D13" s="26">
        <f>Receipts!F27</f>
        <v>375</v>
      </c>
      <c r="F13" s="26"/>
    </row>
    <row r="14" spans="1:6">
      <c r="B14" t="s">
        <v>25</v>
      </c>
      <c r="D14" s="26">
        <f>Receipts!G27</f>
        <v>13348</v>
      </c>
      <c r="F14" s="26"/>
    </row>
    <row r="15" spans="1:6">
      <c r="B15" t="s">
        <v>26</v>
      </c>
      <c r="D15" s="26">
        <f>Receipts!H27</f>
        <v>659.36</v>
      </c>
      <c r="F15" s="26"/>
    </row>
    <row r="16" spans="1:6">
      <c r="B16" t="s">
        <v>27</v>
      </c>
      <c r="D16" s="26">
        <f>Receipts!I27</f>
        <v>8033.36</v>
      </c>
      <c r="F16" s="26"/>
    </row>
    <row r="17" spans="1:6">
      <c r="F17" s="26">
        <f>SUM(D12:D16)</f>
        <v>22415.72</v>
      </c>
    </row>
    <row r="18" spans="1:6">
      <c r="F18" s="26"/>
    </row>
    <row r="19" spans="1:6">
      <c r="A19" t="s">
        <v>43</v>
      </c>
      <c r="B19" t="s">
        <v>106</v>
      </c>
      <c r="E19" s="3">
        <f>Payments!G51</f>
        <v>3260.3999999999996</v>
      </c>
      <c r="F19" s="26"/>
    </row>
    <row r="20" spans="1:6">
      <c r="B20" t="s">
        <v>107</v>
      </c>
      <c r="E20" s="3">
        <f>Payments!H51</f>
        <v>336.36</v>
      </c>
      <c r="F20" s="26"/>
    </row>
    <row r="21" spans="1:6">
      <c r="B21" t="s">
        <v>108</v>
      </c>
      <c r="E21" s="3">
        <f>Payments!I51</f>
        <v>484.08</v>
      </c>
      <c r="F21" s="26"/>
    </row>
    <row r="22" spans="1:6">
      <c r="B22" t="s">
        <v>109</v>
      </c>
      <c r="E22" s="3">
        <f>Payments!J51</f>
        <v>120</v>
      </c>
      <c r="F22" s="26"/>
    </row>
    <row r="23" spans="1:6">
      <c r="B23" t="s">
        <v>110</v>
      </c>
      <c r="E23" s="3">
        <f>Payments!K51</f>
        <v>1241.1999999999996</v>
      </c>
      <c r="F23" s="26"/>
    </row>
    <row r="24" spans="1:6">
      <c r="B24" t="s">
        <v>32</v>
      </c>
      <c r="E24" s="3">
        <f>Payments!L51</f>
        <v>0</v>
      </c>
      <c r="F24" s="26"/>
    </row>
    <row r="25" spans="1:6">
      <c r="B25" t="s">
        <v>111</v>
      </c>
      <c r="E25" s="3">
        <f>Payments!M51</f>
        <v>414.11</v>
      </c>
      <c r="F25" s="26"/>
    </row>
    <row r="26" spans="1:6">
      <c r="B26" t="s">
        <v>112</v>
      </c>
      <c r="E26" s="3">
        <f>Payments!N51</f>
        <v>80</v>
      </c>
      <c r="F26" s="26"/>
    </row>
    <row r="27" spans="1:6">
      <c r="B27" t="s">
        <v>113</v>
      </c>
      <c r="E27" s="3">
        <f>Payments!O51</f>
        <v>680.08</v>
      </c>
      <c r="F27" s="26"/>
    </row>
    <row r="28" spans="1:6">
      <c r="B28" t="s">
        <v>34</v>
      </c>
      <c r="E28" s="3">
        <f>Payments!P51</f>
        <v>0</v>
      </c>
      <c r="F28" s="26"/>
    </row>
    <row r="29" spans="1:6">
      <c r="B29" t="s">
        <v>35</v>
      </c>
      <c r="E29" s="3">
        <f>Payments!Q51</f>
        <v>364.01</v>
      </c>
      <c r="F29" s="26"/>
    </row>
    <row r="30" spans="1:6">
      <c r="B30" t="s">
        <v>27</v>
      </c>
      <c r="E30" s="3">
        <f>Payments!R51</f>
        <v>503.99</v>
      </c>
      <c r="F30" s="26"/>
    </row>
    <row r="31" spans="1:6">
      <c r="F31" s="26">
        <f>0-SUM(E19:E30)</f>
        <v>-7484.23</v>
      </c>
    </row>
    <row r="32" spans="1:6">
      <c r="F32" s="26"/>
    </row>
    <row r="33" spans="1:6">
      <c r="A33" t="s">
        <v>44</v>
      </c>
      <c r="F33" s="26">
        <f>SUM(F10:F32)</f>
        <v>24905.91</v>
      </c>
    </row>
  </sheetData>
  <printOptions gridLines="1"/>
  <pageMargins left="0" right="0" top="3.9763779527559107E-2" bottom="0.39370078740157505" header="0" footer="0"/>
  <pageSetup paperSize="0" fitToWidth="0" fitToHeight="0" pageOrder="overThenDown" orientation="landscape" useFirstPageNumber="1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0"/>
  <sheetViews>
    <sheetView topLeftCell="A46" workbookViewId="0">
      <selection activeCell="H5" sqref="H5"/>
    </sheetView>
  </sheetViews>
  <sheetFormatPr defaultRowHeight="13.8"/>
  <cols>
    <col min="1" max="1" width="26.8984375" customWidth="1"/>
    <col min="2" max="8" width="10.69921875" customWidth="1"/>
    <col min="9" max="9" width="8.796875" customWidth="1"/>
  </cols>
  <sheetData>
    <row r="1" spans="1:8">
      <c r="A1" s="1" t="s">
        <v>0</v>
      </c>
    </row>
    <row r="4" spans="1:8">
      <c r="C4" t="s">
        <v>45</v>
      </c>
      <c r="E4" t="s">
        <v>46</v>
      </c>
      <c r="G4" t="s">
        <v>47</v>
      </c>
    </row>
    <row r="5" spans="1:8">
      <c r="A5" t="s">
        <v>48</v>
      </c>
      <c r="B5" s="3"/>
      <c r="C5" s="3">
        <v>737.4</v>
      </c>
      <c r="D5" s="3"/>
      <c r="E5" s="3">
        <v>659.36</v>
      </c>
      <c r="G5" s="27">
        <f t="shared" ref="G5:G12" si="0">E5-C5</f>
        <v>-78.039999999999964</v>
      </c>
    </row>
    <row r="6" spans="1:8" s="35" customFormat="1">
      <c r="B6" s="3"/>
      <c r="C6" s="3"/>
      <c r="D6" s="3"/>
      <c r="E6" s="3"/>
      <c r="G6" s="27"/>
    </row>
    <row r="7" spans="1:8" s="35" customFormat="1">
      <c r="B7" s="3"/>
      <c r="C7" s="3"/>
      <c r="D7" s="3"/>
      <c r="E7" s="3"/>
      <c r="G7" s="27"/>
    </row>
    <row r="8" spans="1:8">
      <c r="A8" t="s">
        <v>49</v>
      </c>
      <c r="B8" s="3"/>
      <c r="C8" s="3">
        <f>56.65+27.8+37.06+12.36+29.2+3.23+102.49+56.16+2.79+8.97</f>
        <v>336.71</v>
      </c>
      <c r="D8" s="3"/>
      <c r="E8" s="3">
        <f>120+'[1]Budget Summary'!$D$13+'[1]Budget Summary'!$D$14</f>
        <v>258.97000000000003</v>
      </c>
      <c r="G8" s="27">
        <f t="shared" si="0"/>
        <v>-77.739999999999952</v>
      </c>
    </row>
    <row r="9" spans="1:8">
      <c r="A9" t="s">
        <v>50</v>
      </c>
      <c r="B9" s="3"/>
      <c r="C9" s="3">
        <f>307.89+103.13</f>
        <v>411.02</v>
      </c>
      <c r="D9" s="3"/>
      <c r="E9" s="3">
        <f>+'[1]Budget Summary'!$D$34</f>
        <v>414.11</v>
      </c>
      <c r="G9" s="27">
        <f t="shared" si="0"/>
        <v>3.0900000000000318</v>
      </c>
    </row>
    <row r="10" spans="1:8">
      <c r="A10" t="s">
        <v>51</v>
      </c>
      <c r="B10" s="3"/>
      <c r="C10" s="3">
        <f>50+75</f>
        <v>125</v>
      </c>
      <c r="D10" s="3"/>
      <c r="E10" s="3">
        <f>+'[1]Budget Summary'!$D$9</f>
        <v>50</v>
      </c>
      <c r="G10" s="27">
        <f t="shared" si="0"/>
        <v>-75</v>
      </c>
      <c r="H10" t="s">
        <v>203</v>
      </c>
    </row>
    <row r="11" spans="1:8">
      <c r="A11" t="s">
        <v>52</v>
      </c>
      <c r="B11" s="3"/>
      <c r="C11" s="3">
        <f>458.64+317.52+647.13+446.55-215</f>
        <v>1654.84</v>
      </c>
      <c r="D11" s="3"/>
      <c r="E11" s="3">
        <f>+'[1]Budget Summary'!$D$6</f>
        <v>3072</v>
      </c>
      <c r="G11" s="27">
        <f t="shared" si="0"/>
        <v>1417.16</v>
      </c>
      <c r="H11" t="s">
        <v>202</v>
      </c>
    </row>
    <row r="12" spans="1:8">
      <c r="A12" t="s">
        <v>53</v>
      </c>
      <c r="B12" s="3"/>
      <c r="C12" s="3">
        <f>1.35+2.7+44.55+3.15</f>
        <v>51.749999999999993</v>
      </c>
      <c r="D12" s="3"/>
      <c r="E12" s="3">
        <f>+'[1]Staff Costs'!$F$7+'[1]Staff Costs'!$F$11+'[1]Staff Costs'!$F$15+'[1]Staff Costs'!$F$19+'[1]Staff Costs'!$F$23</f>
        <v>68.400000000000006</v>
      </c>
      <c r="G12" s="27">
        <f t="shared" si="0"/>
        <v>16.650000000000013</v>
      </c>
    </row>
    <row r="13" spans="1:8">
      <c r="A13" s="1" t="s">
        <v>35</v>
      </c>
      <c r="B13" s="3"/>
      <c r="C13" s="3"/>
      <c r="D13" s="3"/>
      <c r="E13" s="3"/>
      <c r="G13" s="27"/>
    </row>
    <row r="14" spans="1:8">
      <c r="A14" t="s">
        <v>54</v>
      </c>
      <c r="B14" s="3">
        <v>150</v>
      </c>
      <c r="C14" s="3"/>
      <c r="D14" s="3">
        <v>0</v>
      </c>
      <c r="G14" s="27"/>
    </row>
    <row r="15" spans="1:8">
      <c r="A15" t="s">
        <v>55</v>
      </c>
      <c r="B15" s="3">
        <v>17</v>
      </c>
      <c r="C15" s="3"/>
      <c r="D15" s="3">
        <v>17</v>
      </c>
      <c r="G15" s="27"/>
    </row>
    <row r="16" spans="1:8" s="35" customFormat="1">
      <c r="A16" s="35" t="s">
        <v>195</v>
      </c>
      <c r="B16" s="3">
        <v>0</v>
      </c>
      <c r="C16" s="3"/>
      <c r="D16" s="3">
        <v>53.59</v>
      </c>
      <c r="E16" s="3"/>
      <c r="G16" s="27"/>
    </row>
    <row r="17" spans="1:8" s="35" customFormat="1">
      <c r="A17" s="35" t="s">
        <v>196</v>
      </c>
      <c r="B17" s="3">
        <v>0</v>
      </c>
      <c r="C17" s="3"/>
      <c r="D17" s="3">
        <v>150</v>
      </c>
      <c r="E17" s="3"/>
      <c r="G17" s="27"/>
    </row>
    <row r="18" spans="1:8" s="35" customFormat="1">
      <c r="A18" s="35" t="s">
        <v>197</v>
      </c>
      <c r="B18" s="3">
        <v>0</v>
      </c>
      <c r="C18" s="3"/>
      <c r="D18" s="3">
        <v>143.41999999999999</v>
      </c>
      <c r="E18" s="3"/>
      <c r="G18" s="27"/>
    </row>
    <row r="19" spans="1:8">
      <c r="B19" s="3"/>
      <c r="C19" s="3">
        <f>SUM(B14:B18)</f>
        <v>167</v>
      </c>
      <c r="D19" s="3"/>
      <c r="E19" s="3">
        <f>SUM(D14:D18)</f>
        <v>364.01</v>
      </c>
      <c r="G19" s="27">
        <f>E19-C19</f>
        <v>197.01</v>
      </c>
      <c r="H19" t="s">
        <v>204</v>
      </c>
    </row>
    <row r="20" spans="1:8">
      <c r="A20" s="1" t="s">
        <v>34</v>
      </c>
      <c r="B20" s="3"/>
      <c r="C20" s="3"/>
      <c r="D20" s="3"/>
      <c r="E20" s="3"/>
      <c r="G20" s="27"/>
    </row>
    <row r="21" spans="1:8">
      <c r="A21" t="s">
        <v>56</v>
      </c>
      <c r="B21" s="3">
        <v>180</v>
      </c>
      <c r="C21" s="3"/>
      <c r="D21" s="3">
        <v>0</v>
      </c>
      <c r="E21" s="3"/>
      <c r="G21" s="27"/>
    </row>
    <row r="22" spans="1:8">
      <c r="B22" s="3"/>
      <c r="C22" s="3">
        <f>SUM(B21:B21)</f>
        <v>180</v>
      </c>
      <c r="D22" s="3"/>
      <c r="E22" s="3">
        <f>SUM(D21)</f>
        <v>0</v>
      </c>
      <c r="G22" s="27">
        <f>E22-C22</f>
        <v>-180</v>
      </c>
      <c r="H22" t="s">
        <v>205</v>
      </c>
    </row>
    <row r="23" spans="1:8">
      <c r="A23" s="1" t="s">
        <v>57</v>
      </c>
      <c r="B23" s="3"/>
      <c r="C23" s="3"/>
      <c r="D23" s="3"/>
      <c r="E23" s="3"/>
      <c r="G23" s="27"/>
    </row>
    <row r="24" spans="1:8">
      <c r="A24" t="s">
        <v>33</v>
      </c>
      <c r="B24" s="3">
        <f>175+53.86</f>
        <v>228.86</v>
      </c>
      <c r="D24" s="3">
        <f>+'[1]Budget Summary'!$D$24</f>
        <v>791.82</v>
      </c>
      <c r="G24" s="27"/>
      <c r="H24" t="s">
        <v>206</v>
      </c>
    </row>
    <row r="25" spans="1:8">
      <c r="A25" t="s">
        <v>58</v>
      </c>
      <c r="B25" s="3">
        <f>309.4+24.31</f>
        <v>333.71</v>
      </c>
      <c r="C25" s="3"/>
      <c r="D25" s="3">
        <f>+'[1]Budget Summary'!$D$25</f>
        <v>449.38000000000005</v>
      </c>
      <c r="E25" s="3"/>
      <c r="G25" s="27"/>
      <c r="H25" t="s">
        <v>207</v>
      </c>
    </row>
    <row r="26" spans="1:8">
      <c r="B26" s="3"/>
      <c r="C26" s="3">
        <f>SUM(B24:B25)</f>
        <v>562.56999999999994</v>
      </c>
      <c r="D26" s="3"/>
      <c r="E26" s="3">
        <f>SUM(D24:D25)</f>
        <v>1241.2</v>
      </c>
      <c r="G26" s="27">
        <f>E26-C26</f>
        <v>678.63000000000011</v>
      </c>
    </row>
    <row r="27" spans="1:8">
      <c r="A27" s="1" t="s">
        <v>59</v>
      </c>
      <c r="B27" s="3"/>
      <c r="C27" s="3"/>
      <c r="D27" s="3"/>
      <c r="E27" s="3"/>
      <c r="G27" s="27"/>
    </row>
    <row r="28" spans="1:8">
      <c r="A28" t="s">
        <v>60</v>
      </c>
      <c r="B28" s="3">
        <v>201.43</v>
      </c>
      <c r="C28" s="3"/>
      <c r="D28" s="3">
        <f>+'[1]Legal &amp; Professional'!$F$5</f>
        <v>210.36</v>
      </c>
      <c r="E28" s="3"/>
      <c r="G28" s="27"/>
    </row>
    <row r="29" spans="1:8">
      <c r="B29" s="3"/>
      <c r="C29" s="3">
        <f>SUM(B28)</f>
        <v>201.43</v>
      </c>
      <c r="D29" s="3"/>
      <c r="E29" s="3">
        <f>SUM(D28)</f>
        <v>210.36</v>
      </c>
      <c r="G29" s="27">
        <f>E29-C29</f>
        <v>8.9300000000000068</v>
      </c>
    </row>
    <row r="30" spans="1:8">
      <c r="A30" s="1" t="s">
        <v>61</v>
      </c>
      <c r="B30" s="3"/>
      <c r="G30" s="27"/>
    </row>
    <row r="31" spans="1:8">
      <c r="A31" t="s">
        <v>62</v>
      </c>
      <c r="B31" s="3">
        <f>84.17</f>
        <v>84.17</v>
      </c>
      <c r="D31">
        <v>0</v>
      </c>
      <c r="G31" s="27"/>
    </row>
    <row r="32" spans="1:8">
      <c r="A32" t="s">
        <v>63</v>
      </c>
      <c r="B32" s="3">
        <f>11.99+23.98+35.97</f>
        <v>71.94</v>
      </c>
      <c r="D32">
        <v>100</v>
      </c>
      <c r="G32" s="27"/>
    </row>
    <row r="33" spans="1:7">
      <c r="A33" t="s">
        <v>64</v>
      </c>
      <c r="B33" s="3">
        <v>84</v>
      </c>
      <c r="D33">
        <v>97.14</v>
      </c>
      <c r="G33" s="27"/>
    </row>
    <row r="34" spans="1:7">
      <c r="A34" t="s">
        <v>65</v>
      </c>
      <c r="B34" s="3">
        <v>386</v>
      </c>
      <c r="D34">
        <v>0</v>
      </c>
      <c r="G34" s="27"/>
    </row>
    <row r="35" spans="1:7">
      <c r="A35" t="s">
        <v>66</v>
      </c>
      <c r="B35" s="3">
        <f>20+80+40</f>
        <v>140</v>
      </c>
      <c r="D35" s="3">
        <v>120</v>
      </c>
      <c r="G35" s="27"/>
    </row>
    <row r="36" spans="1:7">
      <c r="A36" t="s">
        <v>67</v>
      </c>
      <c r="B36" s="3">
        <v>83.33</v>
      </c>
      <c r="C36" s="3"/>
      <c r="D36" s="3">
        <v>0</v>
      </c>
      <c r="E36" s="3"/>
      <c r="G36" s="27"/>
    </row>
    <row r="37" spans="1:7">
      <c r="A37" t="s">
        <v>68</v>
      </c>
      <c r="B37" s="3">
        <v>2750</v>
      </c>
      <c r="C37" s="3"/>
      <c r="D37" s="3">
        <v>0</v>
      </c>
      <c r="E37" s="3"/>
      <c r="G37" s="27"/>
    </row>
    <row r="38" spans="1:7">
      <c r="A38" t="s">
        <v>69</v>
      </c>
      <c r="B38" s="3">
        <v>5200</v>
      </c>
      <c r="C38" s="3"/>
      <c r="D38" s="3">
        <v>0</v>
      </c>
      <c r="E38" s="3"/>
      <c r="G38" s="27"/>
    </row>
    <row r="39" spans="1:7">
      <c r="A39" t="s">
        <v>70</v>
      </c>
      <c r="B39" s="3">
        <v>73.77</v>
      </c>
      <c r="C39" s="3"/>
      <c r="D39" s="3">
        <v>0</v>
      </c>
      <c r="E39" s="3"/>
      <c r="G39" s="27"/>
    </row>
    <row r="40" spans="1:7">
      <c r="A40" t="s">
        <v>71</v>
      </c>
      <c r="B40" s="3">
        <v>40</v>
      </c>
      <c r="C40" s="3"/>
      <c r="D40" s="3">
        <v>35</v>
      </c>
      <c r="E40" s="3"/>
      <c r="G40" s="27"/>
    </row>
    <row r="41" spans="1:7" s="35" customFormat="1">
      <c r="A41" s="35" t="s">
        <v>180</v>
      </c>
      <c r="B41" s="3">
        <v>0</v>
      </c>
      <c r="C41" s="3"/>
      <c r="D41" s="3">
        <v>41</v>
      </c>
      <c r="E41" s="3"/>
      <c r="G41" s="27"/>
    </row>
    <row r="42" spans="1:7" s="35" customFormat="1">
      <c r="A42" s="35" t="s">
        <v>198</v>
      </c>
      <c r="B42" s="3">
        <v>0</v>
      </c>
      <c r="C42" s="3"/>
      <c r="D42" s="3">
        <v>118.02</v>
      </c>
      <c r="E42" s="3"/>
      <c r="G42" s="27"/>
    </row>
    <row r="43" spans="1:7" s="35" customFormat="1">
      <c r="A43" s="35" t="s">
        <v>199</v>
      </c>
      <c r="B43" s="3">
        <v>0</v>
      </c>
      <c r="C43" s="3"/>
      <c r="D43" s="3">
        <v>29.95</v>
      </c>
      <c r="E43" s="3"/>
      <c r="G43" s="27"/>
    </row>
    <row r="44" spans="1:7" s="35" customFormat="1">
      <c r="A44" s="35" t="s">
        <v>112</v>
      </c>
      <c r="B44" s="3">
        <v>0</v>
      </c>
      <c r="C44" s="3"/>
      <c r="D44" s="3">
        <v>80</v>
      </c>
      <c r="E44" s="3"/>
      <c r="G44" s="27"/>
    </row>
    <row r="45" spans="1:7" s="35" customFormat="1">
      <c r="A45" s="35" t="s">
        <v>200</v>
      </c>
      <c r="B45" s="3">
        <v>0</v>
      </c>
      <c r="C45" s="3"/>
      <c r="D45" s="3">
        <v>680.08</v>
      </c>
      <c r="E45" s="3"/>
      <c r="G45" s="27"/>
    </row>
    <row r="46" spans="1:7" s="35" customFormat="1">
      <c r="A46" s="35" t="s">
        <v>201</v>
      </c>
      <c r="B46" s="3">
        <v>0</v>
      </c>
      <c r="C46" s="3"/>
      <c r="D46" s="3">
        <v>503.99</v>
      </c>
      <c r="E46" s="3"/>
      <c r="G46" s="27"/>
    </row>
    <row r="47" spans="1:7" s="35" customFormat="1">
      <c r="B47" s="3"/>
      <c r="C47" s="3"/>
      <c r="D47" s="3"/>
      <c r="E47" s="3"/>
      <c r="G47" s="27"/>
    </row>
    <row r="48" spans="1:7">
      <c r="C48" s="3">
        <f>SUM(B31:B46)</f>
        <v>8913.2100000000009</v>
      </c>
      <c r="E48">
        <f>SUM(D31:D46)</f>
        <v>1805.18</v>
      </c>
      <c r="G48" s="27">
        <f>E48-C48</f>
        <v>-7108.0300000000007</v>
      </c>
    </row>
    <row r="49" spans="3:8">
      <c r="G49" s="27"/>
    </row>
    <row r="50" spans="3:8">
      <c r="C50" s="3">
        <f>SUM(C8:C48)</f>
        <v>12603.53</v>
      </c>
      <c r="E50" s="3">
        <f>SUM(E8:E48)</f>
        <v>7484.23</v>
      </c>
      <c r="G50" s="27">
        <f>E50-C50</f>
        <v>-5119.3000000000011</v>
      </c>
      <c r="H50">
        <f>SUM(G5:G48)</f>
        <v>-5197.34</v>
      </c>
    </row>
  </sheetData>
  <printOptions gridLines="1"/>
  <pageMargins left="0" right="0" top="3.9763779527559107E-2" bottom="0.39370078740157505" header="0" footer="0"/>
  <pageSetup paperSize="0" fitToWidth="0" fitToHeight="0" pageOrder="overThenDown" orientation="landscape" useFirstPageNumber="1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I21"/>
  <sheetViews>
    <sheetView topLeftCell="A7" workbookViewId="0">
      <selection activeCell="A24" sqref="A24"/>
    </sheetView>
  </sheetViews>
  <sheetFormatPr defaultRowHeight="13.8"/>
  <cols>
    <col min="1" max="1" width="14.796875" customWidth="1"/>
    <col min="2" max="2" width="12.796875" customWidth="1"/>
    <col min="3" max="3" width="24.8984375" customWidth="1"/>
    <col min="4" max="1023" width="10.69921875" customWidth="1"/>
    <col min="1024" max="1024" width="8.796875" customWidth="1"/>
  </cols>
  <sheetData>
    <row r="1" spans="1:1023">
      <c r="A1" s="1" t="s">
        <v>0</v>
      </c>
    </row>
    <row r="2" spans="1:1023">
      <c r="A2" s="1" t="s">
        <v>72</v>
      </c>
    </row>
    <row r="4" spans="1:1023" ht="16.2">
      <c r="A4" s="1" t="s">
        <v>73</v>
      </c>
    </row>
    <row r="6" spans="1:1023" ht="41.4">
      <c r="A6" s="1" t="s">
        <v>74</v>
      </c>
      <c r="B6" s="28" t="s">
        <v>75</v>
      </c>
      <c r="C6" s="1" t="s">
        <v>76</v>
      </c>
      <c r="D6" s="28" t="s">
        <v>77</v>
      </c>
      <c r="E6" s="1" t="s">
        <v>78</v>
      </c>
      <c r="F6" s="1" t="s">
        <v>79</v>
      </c>
      <c r="G6" s="28" t="s">
        <v>80</v>
      </c>
      <c r="H6" s="1" t="s">
        <v>76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</row>
    <row r="8" spans="1:1023">
      <c r="A8" s="29" t="s">
        <v>81</v>
      </c>
      <c r="B8" s="30" t="s">
        <v>82</v>
      </c>
      <c r="C8" s="29" t="s">
        <v>83</v>
      </c>
      <c r="D8">
        <v>4107</v>
      </c>
      <c r="G8">
        <f t="shared" ref="G8:G19" si="0">D8+E8-F8</f>
        <v>4107</v>
      </c>
    </row>
    <row r="9" spans="1:1023" ht="27.6">
      <c r="A9" s="29" t="s">
        <v>84</v>
      </c>
      <c r="B9" s="30" t="s">
        <v>85</v>
      </c>
      <c r="C9" s="29" t="s">
        <v>86</v>
      </c>
      <c r="D9">
        <v>26965</v>
      </c>
      <c r="G9">
        <f t="shared" si="0"/>
        <v>26965</v>
      </c>
      <c r="H9" s="36"/>
      <c r="I9" s="36"/>
      <c r="J9" s="36"/>
      <c r="K9" s="36"/>
    </row>
    <row r="10" spans="1:1023" ht="27.6">
      <c r="A10" s="29" t="s">
        <v>87</v>
      </c>
      <c r="B10" s="29" t="s">
        <v>88</v>
      </c>
      <c r="C10" s="29" t="s">
        <v>89</v>
      </c>
      <c r="D10">
        <v>460</v>
      </c>
      <c r="G10">
        <f t="shared" si="0"/>
        <v>460</v>
      </c>
    </row>
    <row r="11" spans="1:1023" ht="27.6">
      <c r="A11" s="29" t="s">
        <v>90</v>
      </c>
      <c r="B11" s="29"/>
      <c r="C11" s="29" t="s">
        <v>91</v>
      </c>
      <c r="D11">
        <v>1</v>
      </c>
      <c r="G11">
        <f t="shared" si="0"/>
        <v>1</v>
      </c>
      <c r="H11" t="s">
        <v>92</v>
      </c>
    </row>
    <row r="12" spans="1:1023" ht="41.4">
      <c r="A12" s="29" t="s">
        <v>90</v>
      </c>
      <c r="B12" s="29"/>
      <c r="C12" s="29" t="s">
        <v>93</v>
      </c>
      <c r="D12">
        <v>1</v>
      </c>
      <c r="G12">
        <f t="shared" si="0"/>
        <v>1</v>
      </c>
      <c r="H12" t="s">
        <v>92</v>
      </c>
    </row>
    <row r="13" spans="1:1023">
      <c r="A13" s="29" t="s">
        <v>90</v>
      </c>
      <c r="B13" s="29"/>
      <c r="C13" s="29" t="s">
        <v>94</v>
      </c>
      <c r="D13">
        <v>1</v>
      </c>
      <c r="G13">
        <f t="shared" si="0"/>
        <v>1</v>
      </c>
      <c r="H13" t="s">
        <v>92</v>
      </c>
    </row>
    <row r="14" spans="1:1023">
      <c r="A14" s="29" t="s">
        <v>95</v>
      </c>
      <c r="B14" s="29" t="s">
        <v>209</v>
      </c>
      <c r="C14" s="29" t="s">
        <v>94</v>
      </c>
      <c r="D14">
        <v>1</v>
      </c>
      <c r="G14">
        <f t="shared" si="0"/>
        <v>1</v>
      </c>
      <c r="H14" t="s">
        <v>92</v>
      </c>
    </row>
    <row r="15" spans="1:1023">
      <c r="A15" s="29" t="s">
        <v>90</v>
      </c>
      <c r="B15" s="29"/>
      <c r="C15" s="29" t="s">
        <v>96</v>
      </c>
      <c r="D15">
        <v>1</v>
      </c>
      <c r="G15">
        <f t="shared" si="0"/>
        <v>1</v>
      </c>
      <c r="H15" t="s">
        <v>92</v>
      </c>
    </row>
    <row r="16" spans="1:1023" ht="41.4">
      <c r="A16" s="29" t="s">
        <v>97</v>
      </c>
      <c r="B16" s="29"/>
      <c r="C16" s="29" t="s">
        <v>98</v>
      </c>
      <c r="D16">
        <v>2500</v>
      </c>
      <c r="G16">
        <f t="shared" si="0"/>
        <v>2500</v>
      </c>
    </row>
    <row r="17" spans="1:11" ht="27.6">
      <c r="A17" s="29" t="s">
        <v>99</v>
      </c>
      <c r="B17" s="29" t="s">
        <v>100</v>
      </c>
      <c r="C17" s="29" t="s">
        <v>101</v>
      </c>
      <c r="D17">
        <v>816</v>
      </c>
      <c r="G17">
        <f t="shared" si="0"/>
        <v>816</v>
      </c>
      <c r="H17" s="36"/>
      <c r="I17" s="36"/>
      <c r="J17" s="36"/>
      <c r="K17" s="36"/>
    </row>
    <row r="18" spans="1:11" ht="27.6">
      <c r="A18" s="29" t="s">
        <v>99</v>
      </c>
      <c r="B18" s="29" t="s">
        <v>102</v>
      </c>
      <c r="C18" s="29" t="s">
        <v>103</v>
      </c>
      <c r="D18">
        <v>165</v>
      </c>
      <c r="G18">
        <f t="shared" si="0"/>
        <v>165</v>
      </c>
    </row>
    <row r="19" spans="1:11" ht="27.6">
      <c r="A19" s="29" t="s">
        <v>208</v>
      </c>
      <c r="B19" s="31" t="s">
        <v>118</v>
      </c>
      <c r="C19" s="29" t="s">
        <v>104</v>
      </c>
      <c r="D19">
        <v>0</v>
      </c>
      <c r="E19">
        <v>504</v>
      </c>
      <c r="G19">
        <f t="shared" si="0"/>
        <v>504</v>
      </c>
      <c r="H19" s="29"/>
      <c r="I19" s="29"/>
      <c r="J19" s="29"/>
      <c r="K19" s="29"/>
    </row>
    <row r="20" spans="1:11">
      <c r="A20" s="29"/>
      <c r="B20" s="29"/>
      <c r="C20" s="29"/>
      <c r="D20" s="29">
        <f>SUM(D8:D19)</f>
        <v>35018</v>
      </c>
      <c r="E20">
        <f>SUM(E8:E19)</f>
        <v>504</v>
      </c>
      <c r="F20">
        <f>SUM(F8:F19)</f>
        <v>0</v>
      </c>
      <c r="G20">
        <f>SUM(G8:G19)</f>
        <v>35522</v>
      </c>
    </row>
    <row r="21" spans="1:11">
      <c r="A21" s="29"/>
      <c r="B21" s="29"/>
      <c r="C21" s="29"/>
      <c r="D21" s="29"/>
      <c r="F21">
        <f>SUM(D20:E20)-F20</f>
        <v>35522</v>
      </c>
    </row>
  </sheetData>
  <mergeCells count="2">
    <mergeCell ref="H9:K9"/>
    <mergeCell ref="H17:K17"/>
  </mergeCells>
  <printOptions gridLines="1"/>
  <pageMargins left="0.7" right="0.7" top="0.75" bottom="0.75" header="0.3" footer="0.3"/>
  <pageSetup paperSize="9" fitToWidth="0" fitToHeight="0" pageOrder="overThenDown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1403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Bank_Reconciliation</vt:lpstr>
      <vt:lpstr>Receipts</vt:lpstr>
      <vt:lpstr>Payments</vt:lpstr>
      <vt:lpstr>Annual_Summary</vt:lpstr>
      <vt:lpstr>Previous_Year_Variance</vt:lpstr>
      <vt:lpstr>Asset_Register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Coltman</dc:creator>
  <cp:lastModifiedBy>parto</cp:lastModifiedBy>
  <cp:revision>23</cp:revision>
  <cp:lastPrinted>2022-04-25T22:27:22Z</cp:lastPrinted>
  <dcterms:created xsi:type="dcterms:W3CDTF">2020-07-18T13:15:25Z</dcterms:created>
  <dcterms:modified xsi:type="dcterms:W3CDTF">2022-04-25T22:34:21Z</dcterms:modified>
</cp:coreProperties>
</file>